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  <definedNames>
    <definedName name="_xlnm.Print_Titles" localSheetId="0">'repeated header'!$4:$4</definedName>
  </definedNames>
</workbook>
</file>

<file path=xl/styles.xml><?xml version="1.0" encoding="utf-8"?>
<styleSheet xmlns="http://schemas.openxmlformats.org/spreadsheetml/2006/main">
  <numFmts count="27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"/>
    <numFmt numFmtId="123" formatCode="#,##0.0000"/>
    <numFmt numFmtId="124" formatCode="#,##0.0000000"/>
    <numFmt numFmtId="125" formatCode="#,##0.00 %"/>
    <numFmt numFmtId="126" formatCode="#,##0.00"/>
  </numFmts>
  <fonts count="76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6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8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center" vertical="center" wrapText="1"/>
    </xf>
    <xf borderId="5" numFmtId="0" fontId="6" fillId="7" applyNumberFormat="0" applyFill="1" applyFont="1" applyBorder="1" applyAlignment="1" applyProtection="0">
      <alignment horizontal="right" vertical="top" wrapText="1"/>
    </xf>
    <xf borderId="6" numFmtId="0" fontId="7" fillId="8" applyNumberFormat="0" applyFill="1" applyFont="1" applyBorder="1" applyAlignment="1" applyProtection="0">
      <alignment horizontal="left" vertical="top" wrapText="1"/>
    </xf>
    <xf borderId="7" numFmtId="0" fontId="8" fillId="9" applyNumberFormat="0" applyFill="1" applyFont="1" applyBorder="1" applyAlignment="1" applyProtection="0">
      <alignment horizontal="center" vertical="top" wrapText="1"/>
    </xf>
    <xf borderId="8" numFmtId="0" fontId="9" fillId="10" applyNumberFormat="0" applyFill="1" applyFont="1" applyBorder="1" applyAlignment="1" applyProtection="0">
      <alignment horizontal="right" vertical="top" wrapText="1"/>
    </xf>
    <xf borderId="9" numFmtId="102" fontId="10" fillId="11" applyNumberFormat="1" applyFill="1" applyFont="1" applyBorder="1" applyAlignment="1" applyProtection="0">
      <alignment horizontal="right" vertical="top" wrapText="1"/>
    </xf>
    <xf borderId="10" numFmtId="103" fontId="11" fillId="12" applyNumberFormat="1" applyFill="1" applyFont="1" applyBorder="1" applyAlignment="1" applyProtection="0">
      <alignment horizontal="right" vertical="top" wrapText="1"/>
    </xf>
    <xf borderId="11" numFmtId="0" fontId="12" fillId="13" applyNumberFormat="0" applyFill="1" applyFont="1" applyBorder="1" applyAlignment="1" applyProtection="0">
      <alignment horizontal="left" vertical="top" wrapText="1"/>
    </xf>
    <xf borderId="12" numFmtId="0" fontId="13" fillId="14" applyNumberFormat="0" applyFill="1" applyFont="1" applyBorder="1" applyAlignment="1" applyProtection="0">
      <alignment horizontal="center" vertical="top" wrapText="1"/>
    </xf>
    <xf borderId="13" numFmtId="0" fontId="14" fillId="15" applyNumberFormat="0" applyFill="1" applyFont="1" applyBorder="1" applyAlignment="1" applyProtection="0">
      <alignment horizontal="right" vertical="top" wrapText="1"/>
    </xf>
    <xf borderId="14" numFmtId="0" fontId="15" fillId="16" applyNumberFormat="0" applyFill="1" applyFont="1" applyBorder="1" applyAlignment="1" applyProtection="0">
      <alignment horizontal="left" vertical="top" wrapText="1"/>
    </xf>
    <xf borderId="15" numFmtId="0" fontId="16" fillId="17" applyNumberFormat="0" applyFill="1" applyFont="1" applyBorder="1" applyAlignment="1" applyProtection="0">
      <alignment horizontal="center" vertical="top" wrapText="1"/>
    </xf>
    <xf borderId="16" numFmtId="0" fontId="17" fillId="18" applyNumberFormat="0" applyFill="1" applyFont="1" applyBorder="1" applyAlignment="1" applyProtection="0">
      <alignment horizontal="right" vertical="top" wrapText="1"/>
    </xf>
    <xf borderId="17" numFmtId="104" fontId="18" fillId="19" applyNumberFormat="1" applyFill="1" applyFont="1" applyBorder="1" applyAlignment="1" applyProtection="0">
      <alignment horizontal="right" vertical="top" wrapText="1"/>
    </xf>
    <xf borderId="18" numFmtId="105" fontId="19" fillId="20" applyNumberFormat="1" applyFill="1" applyFont="1" applyBorder="1" applyAlignment="1" applyProtection="0">
      <alignment horizontal="right" vertical="top" wrapText="1"/>
    </xf>
    <xf borderId="19" numFmtId="106" fontId="20" fillId="21" applyNumberFormat="1" applyFill="1" applyFont="1" applyBorder="1" applyAlignment="1" applyProtection="0">
      <alignment horizontal="right" vertical="top" wrapText="1"/>
    </xf>
    <xf borderId="20" numFmtId="107" fontId="21" fillId="22" applyNumberFormat="1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right" vertical="top" wrapText="1"/>
    </xf>
    <xf borderId="22" numFmtId="0" fontId="23" fillId="24" applyNumberFormat="0" applyFill="1" applyFont="1" applyBorder="1" applyAlignment="1" applyProtection="0">
      <alignment horizontal="left" vertical="top" wrapText="1"/>
    </xf>
    <xf borderId="23" numFmtId="0" fontId="24" fillId="25" applyNumberFormat="0" applyFill="1" applyFont="1" applyBorder="1" applyAlignment="1" applyProtection="0">
      <alignment horizontal="center" vertical="top" wrapText="1"/>
    </xf>
    <xf borderId="24" numFmtId="0" fontId="25" fillId="26" applyNumberFormat="0" applyFill="1" applyFont="1" applyBorder="1" applyAlignment="1" applyProtection="0">
      <alignment horizontal="right" vertical="top" wrapText="1"/>
    </xf>
    <xf borderId="25" numFmtId="0" fontId="26" fillId="27" applyNumberFormat="0" applyFill="1" applyFont="1" applyBorder="1" applyAlignment="1" applyProtection="0">
      <alignment horizontal="left" vertical="top" wrapText="1"/>
    </xf>
    <xf borderId="26" numFmtId="0" fontId="27" fillId="28" applyNumberFormat="0" applyFill="1" applyFont="1" applyBorder="1" applyAlignment="1" applyProtection="0">
      <alignment horizontal="center" vertical="top" wrapText="1"/>
    </xf>
    <xf borderId="27" numFmtId="0" fontId="28" fillId="29" applyNumberFormat="0" applyFill="1" applyFont="1" applyBorder="1" applyAlignment="1" applyProtection="0">
      <alignment horizontal="right" vertical="top" wrapText="1"/>
    </xf>
    <xf borderId="28" numFmtId="0" fontId="29" fillId="30" applyNumberFormat="0" applyFill="1" applyFont="1" applyBorder="1" applyAlignment="1" applyProtection="0">
      <alignment horizontal="left" vertical="top" wrapText="1"/>
    </xf>
    <xf borderId="29" numFmtId="0" fontId="30" fillId="31" applyNumberFormat="0" applyFill="1" applyFont="1" applyBorder="1" applyAlignment="1" applyProtection="0">
      <alignment horizontal="center" vertical="top" wrapText="1"/>
    </xf>
    <xf borderId="30" numFmtId="0" fontId="31" fillId="32" applyNumberFormat="0" applyFill="1" applyFont="1" applyBorder="1" applyAlignment="1" applyProtection="0">
      <alignment horizontal="right" vertical="top" wrapText="1"/>
    </xf>
    <xf borderId="31" numFmtId="108" fontId="32" fillId="33" applyNumberFormat="1" applyFill="1" applyFont="1" applyBorder="1" applyAlignment="1" applyProtection="0">
      <alignment horizontal="right" vertical="top" wrapText="1"/>
    </xf>
    <xf borderId="32" numFmtId="109" fontId="33" fillId="34" applyNumberFormat="1" applyFill="1" applyFont="1" applyBorder="1" applyAlignment="1" applyProtection="0">
      <alignment horizontal="right" vertical="top" wrapText="1"/>
    </xf>
    <xf borderId="33" numFmtId="110" fontId="34" fillId="35" applyNumberFormat="1" applyFill="1" applyFont="1" applyBorder="1" applyAlignment="1" applyProtection="0">
      <alignment horizontal="right" vertical="top" wrapText="1"/>
    </xf>
    <xf borderId="34" numFmtId="111" fontId="35" fillId="36" applyNumberFormat="1" applyFill="1" applyFont="1" applyBorder="1" applyAlignment="1" applyProtection="0">
      <alignment horizontal="right" vertical="top" wrapText="1"/>
    </xf>
    <xf borderId="35" numFmtId="0" fontId="36" fillId="37" applyNumberFormat="0" applyFill="1" applyFont="1" applyBorder="1" applyAlignment="1" applyProtection="0">
      <alignment horizontal="left" vertical="top" wrapText="1"/>
    </xf>
    <xf borderId="36" numFmtId="0" fontId="37" fillId="38" applyNumberFormat="0" applyFill="1" applyFont="1" applyBorder="1" applyAlignment="1" applyProtection="0">
      <alignment horizontal="left" vertical="top" wrapText="1"/>
    </xf>
    <xf borderId="37" numFmtId="0" fontId="38" fillId="39" applyNumberFormat="0" applyFill="1" applyFont="1" applyBorder="1" applyAlignment="1" applyProtection="0">
      <alignment horizontal="center" vertical="top" wrapText="1"/>
    </xf>
    <xf borderId="38" numFmtId="0" fontId="39" fillId="40" applyNumberFormat="0" applyFill="1" applyFont="1" applyBorder="1" applyAlignment="1" applyProtection="0">
      <alignment horizontal="right" vertical="top" wrapText="1"/>
    </xf>
    <xf borderId="39" numFmtId="112" fontId="40" fillId="41" applyNumberFormat="1" applyFill="1" applyFont="1" applyBorder="1" applyAlignment="1" applyProtection="0">
      <alignment horizontal="right" vertical="top" wrapText="1"/>
    </xf>
    <xf borderId="40" numFmtId="113" fontId="41" fillId="42" applyNumberFormat="1" applyFill="1" applyFont="1" applyBorder="1" applyAlignment="1" applyProtection="0">
      <alignment horizontal="right" vertical="top" wrapText="1"/>
    </xf>
    <xf borderId="41" numFmtId="114" fontId="42" fillId="43" applyNumberFormat="1" applyFill="1" applyFont="1" applyBorder="1" applyAlignment="1" applyProtection="0">
      <alignment horizontal="right" vertical="top" wrapText="1"/>
    </xf>
    <xf borderId="42" numFmtId="115" fontId="43" fillId="44" applyNumberFormat="1" applyFill="1" applyFont="1" applyBorder="1" applyAlignment="1" applyProtection="0">
      <alignment horizontal="right" vertical="top" wrapText="1"/>
    </xf>
    <xf borderId="43" numFmtId="0" fontId="44" fillId="45" applyNumberFormat="0" applyFill="1" applyFont="1" applyBorder="1" applyAlignment="1" applyProtection="0">
      <alignment horizontal="left" vertical="top" wrapText="1"/>
    </xf>
    <xf borderId="44" numFmtId="0" fontId="45" fillId="46" applyNumberFormat="0" applyFill="1" applyFont="1" applyBorder="1" applyAlignment="1" applyProtection="0">
      <alignment horizontal="center" vertical="top" wrapText="1"/>
    </xf>
    <xf borderId="45" numFmtId="0" fontId="46" fillId="47" applyNumberFormat="0" applyFill="1" applyFont="1" applyBorder="1" applyAlignment="1" applyProtection="0">
      <alignment horizontal="right" vertical="top" wrapText="1"/>
    </xf>
    <xf borderId="46" numFmtId="116" fontId="47" fillId="48" applyNumberFormat="1" applyFill="1" applyFont="1" applyBorder="1" applyAlignment="1" applyProtection="0">
      <alignment horizontal="right" vertical="top" wrapText="1"/>
    </xf>
    <xf borderId="47" numFmtId="117" fontId="48" fillId="49" applyNumberFormat="1" applyFill="1" applyFont="1" applyBorder="1" applyAlignment="1" applyProtection="0">
      <alignment horizontal="right" vertical="top" wrapText="1"/>
    </xf>
    <xf borderId="48" numFmtId="118" fontId="49" fillId="50" applyNumberFormat="1" applyFill="1" applyFont="1" applyBorder="1" applyAlignment="1" applyProtection="0">
      <alignment horizontal="right" vertical="top" wrapText="1"/>
    </xf>
    <xf borderId="49" numFmtId="119" fontId="50" fillId="51" applyNumberFormat="1" applyFill="1" applyFont="1" applyBorder="1" applyAlignment="1" applyProtection="0">
      <alignment horizontal="right" vertical="top" wrapText="1"/>
    </xf>
    <xf borderId="50" numFmtId="0" fontId="51" fillId="52" applyNumberFormat="0" applyFill="1" applyFont="1" applyBorder="1" applyAlignment="1" applyProtection="0">
      <alignment horizontal="right" vertical="top" wrapText="1"/>
    </xf>
    <xf borderId="51" numFmtId="0" fontId="52" fillId="53" applyNumberFormat="0" applyFill="1" applyFont="1" applyBorder="1" applyAlignment="1" applyProtection="0">
      <alignment horizontal="left" vertical="top" wrapText="1"/>
    </xf>
    <xf borderId="52" numFmtId="0" fontId="53" fillId="54" applyNumberFormat="0" applyFill="1" applyFont="1" applyBorder="1" applyAlignment="1" applyProtection="0">
      <alignment horizontal="center" vertical="top" wrapText="1"/>
    </xf>
    <xf borderId="53" numFmtId="0" fontId="54" fillId="55" applyNumberFormat="0" applyFill="1" applyFont="1" applyBorder="1" applyAlignment="1" applyProtection="0">
      <alignment horizontal="right" vertical="top" wrapText="1"/>
    </xf>
    <xf borderId="0" numFmtId="0" fontId="55" fillId="56" applyNumberFormat="0" applyFill="1" applyFont="1" applyBorder="0" applyAlignment="1" applyProtection="0">
      <alignment horizontal="left" vertical="top" wrapText="1"/>
    </xf>
    <xf borderId="0" numFmtId="0" fontId="56" fillId="57" applyNumberFormat="0" applyFill="1" applyFont="1" applyBorder="0" applyAlignment="1" applyProtection="0">
      <alignment horizontal="center" vertical="top" wrapText="1"/>
    </xf>
    <xf borderId="0" numFmtId="0" fontId="57" fillId="58" applyNumberFormat="0" applyFill="1" applyFont="1" applyBorder="0" applyAlignment="1" applyProtection="0">
      <alignment horizontal="right" vertical="top" wrapText="1"/>
    </xf>
    <xf borderId="0" numFmtId="120" fontId="58" fillId="59" applyNumberFormat="1" applyFill="1" applyFont="1" applyBorder="0" applyAlignment="1" applyProtection="0">
      <alignment horizontal="right" vertical="top" wrapText="1"/>
    </xf>
    <xf borderId="0" numFmtId="121" fontId="59" fillId="60" applyNumberFormat="1" applyFill="1" applyFont="1" applyBorder="0" applyAlignment="1" applyProtection="0">
      <alignment horizontal="right" vertical="top" wrapText="1"/>
    </xf>
    <xf borderId="0" numFmtId="122" fontId="60" fillId="61" applyNumberFormat="1" applyFill="1" applyFont="1" applyBorder="0" applyAlignment="1" applyProtection="0">
      <alignment horizontal="left" vertical="top" wrapText="1"/>
    </xf>
    <xf borderId="0" numFmtId="123" fontId="61" fillId="62" applyNumberFormat="1" applyFill="1" applyFont="1" applyBorder="0" applyAlignment="1" applyProtection="0">
      <alignment horizontal="left" vertical="top" wrapText="1"/>
    </xf>
    <xf borderId="0" numFmtId="124" fontId="62" fillId="63" applyNumberFormat="1" applyFill="1" applyFont="1" applyBorder="0" applyAlignment="1" applyProtection="0">
      <alignment horizontal="right" vertical="top" wrapText="1"/>
    </xf>
    <xf borderId="0" numFmtId="125" fontId="63" fillId="64" applyNumberFormat="1" applyFill="1" applyFont="1" applyBorder="0" applyAlignment="1" applyProtection="0">
      <alignment horizontal="right" vertical="top" wrapText="1"/>
    </xf>
    <xf borderId="0" numFmtId="0" fontId="64" fillId="65" applyNumberFormat="0" applyFill="1" applyFont="1" applyBorder="0" applyAlignment="1" applyProtection="0">
      <alignment horizontal="left" vertical="top" wrapText="1"/>
    </xf>
    <xf borderId="0" numFmtId="0" fontId="65" fillId="66" applyNumberFormat="0" applyFill="1" applyFont="1" applyBorder="0" applyAlignment="1" applyProtection="0">
      <alignment horizontal="center" vertical="top" wrapText="1"/>
    </xf>
    <xf borderId="0" numFmtId="0" fontId="66" fillId="67" applyNumberFormat="0" applyFill="1" applyFont="1" applyBorder="0" applyAlignment="1" applyProtection="0">
      <alignment horizontal="right" vertical="top" wrapText="1"/>
    </xf>
    <xf borderId="0" numFmtId="126" fontId="67" fillId="68" applyNumberFormat="1" applyFill="1" applyFont="1" applyBorder="0" applyAlignment="1" applyProtection="0">
      <alignment horizontal="right" vertical="top" wrapText="1"/>
    </xf>
    <xf borderId="54" numFmtId="0" fontId="68" fillId="69" applyNumberFormat="0" applyFill="1" applyFont="1" applyBorder="1" applyAlignment="1" applyProtection="0">
      <alignment horizontal="left" vertical="top" wrapText="1"/>
    </xf>
    <xf borderId="55" numFmtId="0" fontId="69" fillId="70" applyNumberFormat="0" applyFill="1" applyFont="1" applyBorder="1" applyAlignment="1" applyProtection="0">
      <alignment horizontal="center" vertical="top" wrapText="1"/>
    </xf>
    <xf borderId="56" numFmtId="0" fontId="70" fillId="71" applyNumberFormat="0" applyFill="1" applyFont="1" applyBorder="1" applyAlignment="1" applyProtection="0">
      <alignment horizontal="right" vertical="top" wrapText="1"/>
    </xf>
    <xf borderId="57" numFmtId="0" fontId="71" fillId="72" applyNumberFormat="0" applyFill="1" applyFont="1" applyBorder="1" applyAlignment="1" applyProtection="0">
      <alignment horizontal="right" vertical="top" wrapText="1"/>
    </xf>
    <xf borderId="58" numFmtId="0" fontId="72" fillId="73" applyNumberFormat="0" applyFill="1" applyFont="1" applyBorder="1" applyAlignment="1" applyProtection="0">
      <alignment horizontal="right" vertical="top" wrapText="1"/>
    </xf>
    <xf borderId="59" numFmtId="0" fontId="73" fillId="74" applyNumberFormat="0" applyFill="1" applyFont="1" applyBorder="1" applyAlignment="1" applyProtection="0">
      <alignment horizontal="right" vertical="top" wrapText="1"/>
    </xf>
    <xf borderId="60" numFmtId="0" fontId="74" fillId="75" applyNumberFormat="0" applyFill="1" applyFont="1" applyBorder="1" applyAlignment="1" applyProtection="0">
      <alignment horizontal="right" vertical="top" wrapText="1"/>
    </xf>
    <xf borderId="0" numFmtId="0" fontId="75" fillId="76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worksheets/_rels/sheet1.xml.rels><?xml version="1.0" encoding="UTF-8"?>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569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13.2"/>
    <col min="4" max="4" bestFit="1" customWidth="1" width="60"/>
    <col min="5" max="5" bestFit="1" customWidth="1" width="8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 t="inlineStr">
        <is>
          <t>B.D.I.</t>
        </is>
      </c>
      <c r="H1" s="3"/>
      <c r="I1" s="3" t="inlineStr">
        <is>
          <t>Encargos Sociais</t>
        </is>
      </c>
      <c r="J1" s="3"/>
    </row>
    <row customHeight="1" ht="80" r="2">
      <c r="A2" s="57"/>
      <c r="B2" s="57"/>
      <c r="C2" s="57"/>
      <c r="D2" s="57" t="inlineStr">
        <is>
          <t>Cópia de: 29 06 24 REF ADEQ FORUM ELEITORAL DE ITABUNA</t>
        </is>
      </c>
      <c r="E2" s="57" t="inlineStr">
        <is>
          <t>SINAPI - 04/2024 - Bahia
SBC - 04/2024 - Bahia
ORSE - 04/2024 - Sergipe
</t>
        </is>
      </c>
      <c r="F2" s="57"/>
      <c r="G2" s="57" t="inlineStr">
        <is>
          <t>29,07%</t>
        </is>
      </c>
      <c r="H2" s="57"/>
      <c r="I2" s="57" t="inlineStr">
        <is>
          <t>Desonerado: 
Horista: 86,44%
Mensalista: 47,66%</t>
        </is>
      </c>
      <c r="J2" s="57"/>
    </row>
    <row r="3">
      <c r="A3" s="4" t="inlineStr">
        <is>
          <t>Orçamento Sintético</t>
        </is>
      </c>
    </row>
    <row customHeight="1" ht="30" r="4">
      <c r="A4" s="5" t="inlineStr">
        <is>
          <t>Item</t>
        </is>
      </c>
      <c r="B4" s="8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8" t="inlineStr">
        <is>
          <t>Quant.</t>
        </is>
      </c>
      <c r="G4" s="8" t="inlineStr">
        <is>
          <t>Valor Unit</t>
        </is>
      </c>
      <c r="H4" s="8" t="inlineStr">
        <is>
          <t>Valor Unit com BDI</t>
        </is>
      </c>
      <c r="I4" s="8" t="inlineStr">
        <is>
          <t>Total</t>
        </is>
      </c>
      <c r="J4" s="8" t="inlineStr">
        <is>
          <t>Peso (%)</t>
        </is>
      </c>
    </row>
    <row customHeight="1" ht="24" r="5">
      <c r="A5" s="9" t="inlineStr">
        <is>
          <t> 01 </t>
        </is>
      </c>
      <c r="B5" s="9"/>
      <c r="C5" s="9"/>
      <c r="D5" s="9" t="inlineStr">
        <is>
          <t>DESPESAS ADMINISTRATIVAS</t>
        </is>
      </c>
      <c r="E5" s="9"/>
      <c r="F5" s="11"/>
      <c r="G5" s="9"/>
      <c r="H5" s="9"/>
      <c r="I5" s="12" t="n">
        <v>333150.08</v>
      </c>
      <c r="J5" s="13" t="str">
        <f>i5 / 3372490.28</f>
      </c>
    </row>
    <row customHeight="1" ht="24" r="6">
      <c r="A6" s="9" t="inlineStr">
        <is>
          <t> 01.01 </t>
        </is>
      </c>
      <c r="B6" s="9"/>
      <c r="C6" s="9"/>
      <c r="D6" s="9" t="inlineStr">
        <is>
          <t>DESPESAS COM PESSOAL</t>
        </is>
      </c>
      <c r="E6" s="9"/>
      <c r="F6" s="11"/>
      <c r="G6" s="9"/>
      <c r="H6" s="9"/>
      <c r="I6" s="12" t="n">
        <v>259948.45</v>
      </c>
      <c r="J6" s="13" t="str">
        <f>i6 / 3372490.28</f>
      </c>
    </row>
    <row customHeight="1" ht="26" r="7">
      <c r="A7" s="17" t="inlineStr">
        <is>
          <t> 01.01.1 </t>
        </is>
      </c>
      <c r="B7" s="19" t="inlineStr">
        <is>
          <t> 90777 </t>
        </is>
      </c>
      <c r="C7" s="17" t="inlineStr">
        <is>
          <t>SINAPI</t>
        </is>
      </c>
      <c r="D7" s="17" t="inlineStr">
        <is>
          <t>ENGENHEIRO CIVIL DE OBRA JUNIOR COM ENCARGOS COMPLEMENTARES</t>
        </is>
      </c>
      <c r="E7" s="18" t="inlineStr">
        <is>
          <t>H</t>
        </is>
      </c>
      <c r="F7" s="19" t="n">
        <v>770.0</v>
      </c>
      <c r="G7" s="20" t="n">
        <v>105.55</v>
      </c>
      <c r="H7" s="20" t="str">
        <f>TRUNC(G7 * (1 + 29.07 / 100), 2)</f>
      </c>
      <c r="I7" s="20" t="str">
        <f>TRUNC(F7 * h7, 2)</f>
      </c>
      <c r="J7" s="21" t="str">
        <f>i7 / 3372490.28</f>
      </c>
    </row>
    <row customHeight="1" ht="26" r="8">
      <c r="A8" s="17" t="inlineStr">
        <is>
          <t> 01.01.2 </t>
        </is>
      </c>
      <c r="B8" s="19" t="inlineStr">
        <is>
          <t> 93572 </t>
        </is>
      </c>
      <c r="C8" s="17" t="inlineStr">
        <is>
          <t>SINAPI</t>
        </is>
      </c>
      <c r="D8" s="17" t="inlineStr">
        <is>
          <t>ENCARREGADO GERAL DE OBRAS COM ENCARGOS COMPLEMENTARES</t>
        </is>
      </c>
      <c r="E8" s="18" t="inlineStr">
        <is>
          <t>MES</t>
        </is>
      </c>
      <c r="F8" s="19" t="n">
        <v>7.0</v>
      </c>
      <c r="G8" s="20" t="n">
        <v>5902.73</v>
      </c>
      <c r="H8" s="20" t="str">
        <f>TRUNC(G8 * (1 + 29.07 / 100), 2)</f>
      </c>
      <c r="I8" s="20" t="str">
        <f>TRUNC(F8 * h8, 2)</f>
      </c>
      <c r="J8" s="21" t="str">
        <f>i8 / 3372490.28</f>
      </c>
    </row>
    <row customHeight="1" ht="24" r="9">
      <c r="A9" s="17" t="inlineStr">
        <is>
          <t> 01.01.3 </t>
        </is>
      </c>
      <c r="B9" s="19" t="inlineStr">
        <is>
          <t> 88326 </t>
        </is>
      </c>
      <c r="C9" s="17" t="inlineStr">
        <is>
          <t>SINAPI</t>
        </is>
      </c>
      <c r="D9" s="17" t="inlineStr">
        <is>
          <t>VIGIA NOTURNO COM ENCARGOS COMPLEMENTARES</t>
        </is>
      </c>
      <c r="E9" s="18" t="inlineStr">
        <is>
          <t>H</t>
        </is>
      </c>
      <c r="F9" s="19" t="n">
        <v>3024.0</v>
      </c>
      <c r="G9" s="20" t="n">
        <v>25.3</v>
      </c>
      <c r="H9" s="20" t="str">
        <f>TRUNC(G9 * (1 + 29.07 / 100), 2)</f>
      </c>
      <c r="I9" s="20" t="str">
        <f>TRUNC(F9 * h9, 2)</f>
      </c>
      <c r="J9" s="21" t="str">
        <f>i9 / 3372490.28</f>
      </c>
    </row>
    <row customHeight="1" ht="24" r="10">
      <c r="A10" s="17" t="inlineStr">
        <is>
          <t> 01.01.4 </t>
        </is>
      </c>
      <c r="B10" s="19" t="inlineStr">
        <is>
          <t> 90781 </t>
        </is>
      </c>
      <c r="C10" s="17" t="inlineStr">
        <is>
          <t>SINAPI</t>
        </is>
      </c>
      <c r="D10" s="17" t="inlineStr">
        <is>
          <t>TOPOGRAFO COM ENCARGOS COMPLEMENTARES</t>
        </is>
      </c>
      <c r="E10" s="18" t="inlineStr">
        <is>
          <t>H</t>
        </is>
      </c>
      <c r="F10" s="19" t="n">
        <v>40.0</v>
      </c>
      <c r="G10" s="20" t="n">
        <v>39.1</v>
      </c>
      <c r="H10" s="20" t="str">
        <f>TRUNC(G10 * (1 + 29.07 / 100), 2)</f>
      </c>
      <c r="I10" s="20" t="str">
        <f>TRUNC(F10 * h10, 2)</f>
      </c>
      <c r="J10" s="21" t="str">
        <f>i10 / 3372490.28</f>
      </c>
    </row>
    <row customHeight="1" ht="24" r="11">
      <c r="A11" s="17" t="inlineStr">
        <is>
          <t> 01.01.5 </t>
        </is>
      </c>
      <c r="B11" s="19" t="inlineStr">
        <is>
          <t> 88253 </t>
        </is>
      </c>
      <c r="C11" s="17" t="inlineStr">
        <is>
          <t>SINAPI</t>
        </is>
      </c>
      <c r="D11" s="17" t="inlineStr">
        <is>
          <t>AUXILIAR DE TOPÓGRAFO COM ENCARGOS COMPLEMENTARES</t>
        </is>
      </c>
      <c r="E11" s="18" t="inlineStr">
        <is>
          <t>H</t>
        </is>
      </c>
      <c r="F11" s="19" t="n">
        <v>40.0</v>
      </c>
      <c r="G11" s="20" t="n">
        <v>18.77</v>
      </c>
      <c r="H11" s="20" t="str">
        <f>TRUNC(G11 * (1 + 29.07 / 100), 2)</f>
      </c>
      <c r="I11" s="20" t="str">
        <f>TRUNC(F11 * h11, 2)</f>
      </c>
      <c r="J11" s="21" t="str">
        <f>i11 / 3372490.28</f>
      </c>
    </row>
    <row customHeight="1" ht="24" r="12">
      <c r="A12" s="9" t="inlineStr">
        <is>
          <t> 01.02 </t>
        </is>
      </c>
      <c r="B12" s="9"/>
      <c r="C12" s="9"/>
      <c r="D12" s="9" t="inlineStr">
        <is>
          <t>DESPESAS GERAIS DE CONSUMO</t>
        </is>
      </c>
      <c r="E12" s="9"/>
      <c r="F12" s="11"/>
      <c r="G12" s="9"/>
      <c r="H12" s="9"/>
      <c r="I12" s="12" t="n">
        <v>11263.14</v>
      </c>
      <c r="J12" s="13" t="str">
        <f>i12 / 3372490.28</f>
      </c>
    </row>
    <row customHeight="1" ht="24" r="13">
      <c r="A13" s="17" t="inlineStr">
        <is>
          <t> 01.02.1 </t>
        </is>
      </c>
      <c r="B13" s="19" t="inlineStr">
        <is>
          <t> ITA0100 </t>
        </is>
      </c>
      <c r="C13" s="17" t="inlineStr">
        <is>
          <t>Próprio</t>
        </is>
      </c>
      <c r="D13" s="17" t="inlineStr">
        <is>
          <t>LIMPEZA PERMANENTE DA OBRA</t>
        </is>
      </c>
      <c r="E13" s="18" t="inlineStr">
        <is>
          <t>MÊS</t>
        </is>
      </c>
      <c r="F13" s="19" t="n">
        <v>6.0</v>
      </c>
      <c r="G13" s="20" t="n">
        <v>1454.4</v>
      </c>
      <c r="H13" s="20" t="str">
        <f>TRUNC(G13 * (1 + 29.07 / 100), 2)</f>
      </c>
      <c r="I13" s="20" t="str">
        <f>TRUNC(F13 * h13, 2)</f>
      </c>
      <c r="J13" s="21" t="str">
        <f>i13 / 3372490.28</f>
      </c>
    </row>
    <row customHeight="1" ht="24" r="14">
      <c r="A14" s="9" t="inlineStr">
        <is>
          <t> 01.03 </t>
        </is>
      </c>
      <c r="B14" s="9"/>
      <c r="C14" s="9"/>
      <c r="D14" s="9" t="inlineStr">
        <is>
          <t>EQUIPAMENTOS NÃO INCORPORADOS AO IMOVEL</t>
        </is>
      </c>
      <c r="E14" s="9"/>
      <c r="F14" s="11"/>
      <c r="G14" s="9"/>
      <c r="H14" s="9"/>
      <c r="I14" s="12" t="n">
        <v>61938.49</v>
      </c>
      <c r="J14" s="13" t="str">
        <f>i14 / 3372490.28</f>
      </c>
    </row>
    <row customHeight="1" ht="52" r="15">
      <c r="A15" s="17" t="inlineStr">
        <is>
          <t> 01.03.1 </t>
        </is>
      </c>
      <c r="B15" s="19" t="inlineStr">
        <is>
          <t> 97063 </t>
        </is>
      </c>
      <c r="C15" s="17" t="inlineStr">
        <is>
          <t>SINAPI</t>
        </is>
      </c>
      <c r="D15" s="17" t="inlineStr">
        <is>
          <t>MONTAGEM E DESMONTAGEM DE ANDAIME MODULAR FACHADEIRO, COM PISO METÁLICO, PARA EDIFÍCIOS COM MULTIPLOS PAVIMENTOS (EXCLUSIVE ANDAIME E LIMPEZA). AF_03/2024</t>
        </is>
      </c>
      <c r="E15" s="18" t="inlineStr">
        <is>
          <t>m²</t>
        </is>
      </c>
      <c r="F15" s="19" t="n">
        <v>240.0</v>
      </c>
      <c r="G15" s="20" t="n">
        <v>91.62</v>
      </c>
      <c r="H15" s="20" t="str">
        <f>TRUNC(G15 * (1 + 29.07 / 100), 2)</f>
      </c>
      <c r="I15" s="20" t="str">
        <f>TRUNC(F15 * h15, 2)</f>
      </c>
      <c r="J15" s="21" t="str">
        <f>i15 / 3372490.28</f>
      </c>
    </row>
    <row customHeight="1" ht="26" r="16">
      <c r="A16" s="17" t="inlineStr">
        <is>
          <t> 01.03.2 </t>
        </is>
      </c>
      <c r="B16" s="19" t="inlineStr">
        <is>
          <t> 97064 </t>
        </is>
      </c>
      <c r="C16" s="17" t="inlineStr">
        <is>
          <t>SINAPI</t>
        </is>
      </c>
      <c r="D16" s="17" t="inlineStr">
        <is>
          <t>MONTAGEM E DESMONTAGEM DE ANDAIME TUBULAR TIPO "TORRE" (EXCLUSIVE ANDAIME E LIMPEZA). AF_03/2024</t>
        </is>
      </c>
      <c r="E16" s="18" t="inlineStr">
        <is>
          <t>M</t>
        </is>
      </c>
      <c r="F16" s="19" t="n">
        <v>42.0</v>
      </c>
      <c r="G16" s="20" t="n">
        <v>198.07</v>
      </c>
      <c r="H16" s="20" t="str">
        <f>TRUNC(G16 * (1 + 29.07 / 100), 2)</f>
      </c>
      <c r="I16" s="20" t="str">
        <f>TRUNC(F16 * h16, 2)</f>
      </c>
      <c r="J16" s="21" t="str">
        <f>i16 / 3372490.28</f>
      </c>
    </row>
    <row customHeight="1" ht="39" r="17">
      <c r="A17" s="17" t="inlineStr">
        <is>
          <t> 01.03.3 </t>
        </is>
      </c>
      <c r="B17" s="19" t="inlineStr">
        <is>
          <t> IP0007 </t>
        </is>
      </c>
      <c r="C17" s="17" t="inlineStr">
        <is>
          <t>Próprio</t>
        </is>
      </c>
      <c r="D17" s="17" t="inlineStr">
        <is>
          <t>LOCAÇÃO DE ANDAIME METÁLICO TIPO FACHADEIRO - INCLUINDO LIMPEZA, MANUTENÇÃO E ITENS NECESSÁRIOS A INSTALAÇÃO</t>
        </is>
      </c>
      <c r="E17" s="18" t="inlineStr">
        <is>
          <t>M2XMÊS</t>
        </is>
      </c>
      <c r="F17" s="19" t="n">
        <v>720.0</v>
      </c>
      <c r="G17" s="20" t="n">
        <v>17.51</v>
      </c>
      <c r="H17" s="20" t="str">
        <f>TRUNC(G17 * (1 + 29.07 / 100), 2)</f>
      </c>
      <c r="I17" s="20" t="str">
        <f>TRUNC(F17 * h17, 2)</f>
      </c>
      <c r="J17" s="21" t="str">
        <f>i17 / 3372490.28</f>
      </c>
    </row>
    <row customHeight="1" ht="39" r="18">
      <c r="A18" s="17" t="inlineStr">
        <is>
          <t> 01.03.4 </t>
        </is>
      </c>
      <c r="B18" s="19" t="inlineStr">
        <is>
          <t> IP0008 </t>
        </is>
      </c>
      <c r="C18" s="17" t="inlineStr">
        <is>
          <t>Próprio</t>
        </is>
      </c>
      <c r="D18" s="17" t="inlineStr">
        <is>
          <t>LOCAÇÃO DE ANDAIME METÁLICO TUBULAR DE ENCAIXE, TIPO TORRE - INCLUINDO LIMPEZA, MANUTENÇÃO E ITENS NECESSÁRIOS A INSTALAÇÃO</t>
        </is>
      </c>
      <c r="E18" s="18" t="inlineStr">
        <is>
          <t>MXMÊS</t>
        </is>
      </c>
      <c r="F18" s="19" t="n">
        <v>192.0</v>
      </c>
      <c r="G18" s="20" t="n">
        <v>22.76</v>
      </c>
      <c r="H18" s="20" t="str">
        <f>TRUNC(G18 * (1 + 29.07 / 100), 2)</f>
      </c>
      <c r="I18" s="20" t="str">
        <f>TRUNC(F18 * h18, 2)</f>
      </c>
      <c r="J18" s="21" t="str">
        <f>i18 / 3372490.28</f>
      </c>
    </row>
    <row customHeight="1" ht="39" r="19">
      <c r="A19" s="17" t="inlineStr">
        <is>
          <t> 01.03.5 </t>
        </is>
      </c>
      <c r="B19" s="19" t="inlineStr">
        <is>
          <t> ITA0012 </t>
        </is>
      </c>
      <c r="C19" s="17" t="inlineStr">
        <is>
          <t>Próprio</t>
        </is>
      </c>
      <c r="D19" s="17" t="inlineStr">
        <is>
          <t>ESCORAMENTO METÁLICO PARA LAJES E VIGAS, C/ ESCORAS TUBULARES TIPO "A" (H=2,08 A 3,20 M), COM MONTAGEM E DESMONTAGEM</t>
        </is>
      </c>
      <c r="E19" s="18" t="inlineStr">
        <is>
          <t>m²</t>
        </is>
      </c>
      <c r="F19" s="19" t="n">
        <v>23.0</v>
      </c>
      <c r="G19" s="20" t="n">
        <v>30.68</v>
      </c>
      <c r="H19" s="20" t="str">
        <f>TRUNC(G19 * (1 + 29.07 / 100), 2)</f>
      </c>
      <c r="I19" s="20" t="str">
        <f>TRUNC(F19 * h19, 2)</f>
      </c>
      <c r="J19" s="21" t="str">
        <f>i19 / 3372490.28</f>
      </c>
    </row>
    <row customHeight="1" ht="24" r="20">
      <c r="A20" s="9" t="inlineStr">
        <is>
          <t> 02 </t>
        </is>
      </c>
      <c r="B20" s="9"/>
      <c r="C20" s="9"/>
      <c r="D20" s="9" t="inlineStr">
        <is>
          <t>DESPESAS GERAIS DE CANTEIRO/MANUTENÇÃO/CONSUMO</t>
        </is>
      </c>
      <c r="E20" s="9"/>
      <c r="F20" s="11"/>
      <c r="G20" s="9"/>
      <c r="H20" s="9"/>
      <c r="I20" s="12" t="n">
        <v>69672.58</v>
      </c>
      <c r="J20" s="13" t="str">
        <f>i20 / 3372490.28</f>
      </c>
    </row>
    <row customHeight="1" ht="24" r="21">
      <c r="A21" s="9" t="inlineStr">
        <is>
          <t> 02.01 </t>
        </is>
      </c>
      <c r="B21" s="9"/>
      <c r="C21" s="9"/>
      <c r="D21" s="9" t="inlineStr">
        <is>
          <t>IMPOSTOS E TAXAS</t>
        </is>
      </c>
      <c r="E21" s="9"/>
      <c r="F21" s="11"/>
      <c r="G21" s="9"/>
      <c r="H21" s="9"/>
      <c r="I21" s="12" t="n">
        <v>1363.53</v>
      </c>
      <c r="J21" s="13" t="str">
        <f>i21 / 3372490.28</f>
      </c>
    </row>
    <row customHeight="1" ht="24" r="22">
      <c r="A22" s="17" t="inlineStr">
        <is>
          <t> 02.01.1 </t>
        </is>
      </c>
      <c r="B22" s="19" t="inlineStr">
        <is>
          <t> CM00318 </t>
        </is>
      </c>
      <c r="C22" s="17" t="inlineStr">
        <is>
          <t>Próprio</t>
        </is>
      </c>
      <c r="D22" s="17" t="inlineStr">
        <is>
          <t>ART</t>
        </is>
      </c>
      <c r="E22" s="18" t="inlineStr">
        <is>
          <t>UND</t>
        </is>
      </c>
      <c r="F22" s="19" t="n">
        <v>2.0</v>
      </c>
      <c r="G22" s="20" t="n">
        <v>322.72</v>
      </c>
      <c r="H22" s="20" t="str">
        <f>TRUNC(G22 * (1 + 29.07 / 100), 2)</f>
      </c>
      <c r="I22" s="20" t="str">
        <f>TRUNC(F22 * h22, 2)</f>
      </c>
      <c r="J22" s="21" t="str">
        <f>i22 / 3372490.28</f>
      </c>
    </row>
    <row customHeight="1" ht="24" r="23">
      <c r="A23" s="17" t="inlineStr">
        <is>
          <t> 02.01.2 </t>
        </is>
      </c>
      <c r="B23" s="19" t="inlineStr">
        <is>
          <t> IP0005 </t>
        </is>
      </c>
      <c r="C23" s="17" t="inlineStr">
        <is>
          <t>Próprio</t>
        </is>
      </c>
      <c r="D23" s="17" t="inlineStr">
        <is>
          <t>ALVARÁ DE REFORMA</t>
        </is>
      </c>
      <c r="E23" s="18" t="inlineStr">
        <is>
          <t>UND</t>
        </is>
      </c>
      <c r="F23" s="19" t="n">
        <v>1.0</v>
      </c>
      <c r="G23" s="20" t="n">
        <v>411.0</v>
      </c>
      <c r="H23" s="20" t="str">
        <f>TRUNC(G23 * (1 + 29.07 / 100), 2)</f>
      </c>
      <c r="I23" s="20" t="str">
        <f>TRUNC(F23 * h23, 2)</f>
      </c>
      <c r="J23" s="21" t="str">
        <f>i23 / 3372490.28</f>
      </c>
    </row>
    <row customHeight="1" ht="24" r="24">
      <c r="A24" s="9" t="inlineStr">
        <is>
          <t> 02.02 </t>
        </is>
      </c>
      <c r="B24" s="9"/>
      <c r="C24" s="9"/>
      <c r="D24" s="9" t="inlineStr">
        <is>
          <t>SEGURANÇA NO TRABALHO</t>
        </is>
      </c>
      <c r="E24" s="9"/>
      <c r="F24" s="11"/>
      <c r="G24" s="9"/>
      <c r="H24" s="9"/>
      <c r="I24" s="12" t="n">
        <v>2065.12</v>
      </c>
      <c r="J24" s="13" t="str">
        <f>i24 / 3372490.28</f>
      </c>
    </row>
    <row customHeight="1" ht="24" r="25">
      <c r="A25" s="17" t="inlineStr">
        <is>
          <t> 02.02.1 </t>
        </is>
      </c>
      <c r="B25" s="19" t="inlineStr">
        <is>
          <t> IP0006 </t>
        </is>
      </c>
      <c r="C25" s="17" t="inlineStr">
        <is>
          <t>Próprio</t>
        </is>
      </c>
      <c r="D25" s="17" t="inlineStr">
        <is>
          <t>PPRA / PGR</t>
        </is>
      </c>
      <c r="E25" s="18" t="inlineStr">
        <is>
          <t>UND</t>
        </is>
      </c>
      <c r="F25" s="19" t="n">
        <v>1.0</v>
      </c>
      <c r="G25" s="20" t="n">
        <v>800.0</v>
      </c>
      <c r="H25" s="20" t="str">
        <f>TRUNC(G25 * (1 + 29.07 / 100), 2)</f>
      </c>
      <c r="I25" s="20" t="str">
        <f>TRUNC(F25 * h25, 2)</f>
      </c>
      <c r="J25" s="21" t="str">
        <f>i25 / 3372490.28</f>
      </c>
    </row>
    <row customHeight="1" ht="24" r="26">
      <c r="A26" s="17" t="inlineStr">
        <is>
          <t> 02.02.2 </t>
        </is>
      </c>
      <c r="B26" s="19" t="inlineStr">
        <is>
          <t> TR003 </t>
        </is>
      </c>
      <c r="C26" s="17" t="inlineStr">
        <is>
          <t>Próprio</t>
        </is>
      </c>
      <c r="D26" s="17" t="inlineStr">
        <is>
          <t>PCMSO</t>
        </is>
      </c>
      <c r="E26" s="18" t="inlineStr">
        <is>
          <t>UND</t>
        </is>
      </c>
      <c r="F26" s="19" t="n">
        <v>1.0</v>
      </c>
      <c r="G26" s="20" t="n">
        <v>800.0</v>
      </c>
      <c r="H26" s="20" t="str">
        <f>TRUNC(G26 * (1 + 29.07 / 100), 2)</f>
      </c>
      <c r="I26" s="20" t="str">
        <f>TRUNC(F26 * h26, 2)</f>
      </c>
      <c r="J26" s="21" t="str">
        <f>i26 / 3372490.28</f>
      </c>
    </row>
    <row customHeight="1" ht="24" r="27">
      <c r="A27" s="9" t="inlineStr">
        <is>
          <t> 02.03 </t>
        </is>
      </c>
      <c r="B27" s="9"/>
      <c r="C27" s="9"/>
      <c r="D27" s="9" t="inlineStr">
        <is>
          <t>INSTALAÇÕES PROVISORIAS</t>
        </is>
      </c>
      <c r="E27" s="9"/>
      <c r="F27" s="11"/>
      <c r="G27" s="9"/>
      <c r="H27" s="9"/>
      <c r="I27" s="12" t="n">
        <v>66243.93</v>
      </c>
      <c r="J27" s="13" t="str">
        <f>i27 / 3372490.28</f>
      </c>
    </row>
    <row customHeight="1" ht="39" r="28">
      <c r="A28" s="17" t="inlineStr">
        <is>
          <t> 02.03.1 </t>
        </is>
      </c>
      <c r="B28" s="19" t="inlineStr">
        <is>
          <t> 103689 </t>
        </is>
      </c>
      <c r="C28" s="17" t="inlineStr">
        <is>
          <t>SINAPI</t>
        </is>
      </c>
      <c r="D28" s="17" t="inlineStr">
        <is>
          <t>FORNECIMENTO E INSTALAÇÃO DE PLACA DE OBRA COM CHAPA GALVANIZADA E ESTRUTURA DE MADEIRA. AF_03/2022_PS</t>
        </is>
      </c>
      <c r="E28" s="18" t="inlineStr">
        <is>
          <t>m²</t>
        </is>
      </c>
      <c r="F28" s="19" t="n">
        <v>1.0</v>
      </c>
      <c r="G28" s="20" t="n">
        <v>437.67</v>
      </c>
      <c r="H28" s="20" t="str">
        <f>TRUNC(G28 * (1 + 29.07 / 100), 2)</f>
      </c>
      <c r="I28" s="20" t="str">
        <f>TRUNC(F28 * h28, 2)</f>
      </c>
      <c r="J28" s="21" t="str">
        <f>i28 / 3372490.28</f>
      </c>
    </row>
    <row customHeight="1" ht="24" r="29">
      <c r="A29" s="17" t="inlineStr">
        <is>
          <t> 02.03.2 </t>
        </is>
      </c>
      <c r="B29" s="19" t="inlineStr">
        <is>
          <t> IP0009 </t>
        </is>
      </c>
      <c r="C29" s="17" t="inlineStr">
        <is>
          <t>Próprio</t>
        </is>
      </c>
      <c r="D29" s="17" t="inlineStr">
        <is>
          <t>MOBILIZAÇÃO PARA INSTALAÇÃO DO CANTEIRO DE OBRAS</t>
        </is>
      </c>
      <c r="E29" s="18" t="inlineStr">
        <is>
          <t>UND</t>
        </is>
      </c>
      <c r="F29" s="19" t="n">
        <v>1.0</v>
      </c>
      <c r="G29" s="20" t="n">
        <v>1850.46</v>
      </c>
      <c r="H29" s="20" t="str">
        <f>TRUNC(G29 * (1 + 29.07 / 100), 2)</f>
      </c>
      <c r="I29" s="20" t="str">
        <f>TRUNC(F29 * h29, 2)</f>
      </c>
      <c r="J29" s="21" t="str">
        <f>i29 / 3372490.28</f>
      </c>
    </row>
    <row customHeight="1" ht="52" r="30">
      <c r="A30" s="17" t="inlineStr">
        <is>
          <t> 02.03.3 </t>
        </is>
      </c>
      <c r="B30" s="19" t="inlineStr">
        <is>
          <t> 104897 </t>
        </is>
      </c>
      <c r="C30" s="17" t="inlineStr">
        <is>
          <t>SINAPI</t>
        </is>
      </c>
      <c r="D30" s="17" t="inlineStr">
        <is>
          <t>COMPOSIÇÃO PARAMÉTRICA DE EXECUÇÃO DE SANITÁRIO E VESTIÁRIO EM CANTEIRO DE OBRAS, FORA DA PROJEÇÃO DA LAJE, EM CHAPA DE MADEIRA COMPENSADA, NÃO INCLUSO MOBILIÁRIO. AF_01/2024_PE</t>
        </is>
      </c>
      <c r="E30" s="18" t="inlineStr">
        <is>
          <t>m²</t>
        </is>
      </c>
      <c r="F30" s="19" t="n">
        <v>20.0</v>
      </c>
      <c r="G30" s="20" t="n">
        <v>928.72</v>
      </c>
      <c r="H30" s="20" t="str">
        <f>TRUNC(G30 * (1 + 29.07 / 100), 2)</f>
      </c>
      <c r="I30" s="20" t="str">
        <f>TRUNC(F30 * h30, 2)</f>
      </c>
      <c r="J30" s="21" t="str">
        <f>i30 / 3372490.28</f>
      </c>
    </row>
    <row customHeight="1" ht="39" r="31">
      <c r="A31" s="17" t="inlineStr">
        <is>
          <t> 02.03.4 </t>
        </is>
      </c>
      <c r="B31" s="19" t="inlineStr">
        <is>
          <t> 74210/001 </t>
        </is>
      </c>
      <c r="C31" s="17" t="inlineStr">
        <is>
          <t>SINAPI</t>
        </is>
      </c>
      <c r="D31" s="17" t="inlineStr">
        <is>
          <t>BARRACAO PARA DEPOSITO EM TABUAS DE MADEIRA, COBERTURA EM FIBROCIMENTO 4 MM,  INCLUSO PISO ARGAMASSA TRAÇO 1:6 (CIMENTO E AREIA)</t>
        </is>
      </c>
      <c r="E31" s="18" t="inlineStr">
        <is>
          <t>m²</t>
        </is>
      </c>
      <c r="F31" s="19" t="n">
        <v>20.0</v>
      </c>
      <c r="G31" s="20" t="n">
        <v>669.47</v>
      </c>
      <c r="H31" s="20" t="str">
        <f>TRUNC(G31 * (1 + 29.07 / 100), 2)</f>
      </c>
      <c r="I31" s="20" t="str">
        <f>TRUNC(F31 * h31, 2)</f>
      </c>
      <c r="J31" s="21" t="str">
        <f>i31 / 3372490.28</f>
      </c>
    </row>
    <row customHeight="1" ht="52" r="32">
      <c r="A32" s="17" t="inlineStr">
        <is>
          <t> 02.03.5 </t>
        </is>
      </c>
      <c r="B32" s="19" t="inlineStr">
        <is>
          <t> 104896 </t>
        </is>
      </c>
      <c r="C32" s="17" t="inlineStr">
        <is>
          <t>SINAPI</t>
        </is>
      </c>
      <c r="D32" s="17" t="inlineStr">
        <is>
          <t>COMPOSIÇÃO PARAMÉTRICA DE EXECUÇÃO DE REFEITÓRIO EM CANTEIRO DE OBRAS, FORA DA PROJEÇÃO DA LAJE, EM CHAPA DE MADEIRA COMPENSADA, NÃO INCLUSO MOBILIÁRIO E EQUIPAMENTOS. AF_01/2024_PE</t>
        </is>
      </c>
      <c r="E32" s="18" t="inlineStr">
        <is>
          <t>m²</t>
        </is>
      </c>
      <c r="F32" s="19" t="n">
        <v>25.0</v>
      </c>
      <c r="G32" s="20" t="n">
        <v>682.9</v>
      </c>
      <c r="H32" s="20" t="str">
        <f>TRUNC(G32 * (1 + 29.07 / 100), 2)</f>
      </c>
      <c r="I32" s="20" t="str">
        <f>TRUNC(F32 * h32, 2)</f>
      </c>
      <c r="J32" s="21" t="str">
        <f>i32 / 3372490.28</f>
      </c>
    </row>
    <row customHeight="1" ht="24" r="33">
      <c r="A33" s="9" t="inlineStr">
        <is>
          <t> 03 </t>
        </is>
      </c>
      <c r="B33" s="9"/>
      <c r="C33" s="9"/>
      <c r="D33" s="9" t="inlineStr">
        <is>
          <t>SERVIÇOS PRELIMINARES</t>
        </is>
      </c>
      <c r="E33" s="9"/>
      <c r="F33" s="11"/>
      <c r="G33" s="9"/>
      <c r="H33" s="9"/>
      <c r="I33" s="12" t="n">
        <v>43306.27</v>
      </c>
      <c r="J33" s="13" t="str">
        <f>i33 / 3372490.28</f>
      </c>
    </row>
    <row customHeight="1" ht="26" r="34">
      <c r="A34" s="17" t="inlineStr">
        <is>
          <t> 03.1 </t>
        </is>
      </c>
      <c r="B34" s="19" t="inlineStr">
        <is>
          <t> 99814 </t>
        </is>
      </c>
      <c r="C34" s="17" t="inlineStr">
        <is>
          <t>SINAPI</t>
        </is>
      </c>
      <c r="D34" s="17" t="inlineStr">
        <is>
          <t>LIMPEZA DE SUPERFÍCIE COM JATO DE ALTA PRESSÃO. AF_04/2019</t>
        </is>
      </c>
      <c r="E34" s="18" t="inlineStr">
        <is>
          <t>m²</t>
        </is>
      </c>
      <c r="F34" s="19" t="n">
        <v>2510.4</v>
      </c>
      <c r="G34" s="20" t="n">
        <v>1.91</v>
      </c>
      <c r="H34" s="20" t="str">
        <f>TRUNC(G34 * (1 + 29.07 / 100), 2)</f>
      </c>
      <c r="I34" s="20" t="str">
        <f>TRUNC(F34 * h34, 2)</f>
      </c>
      <c r="J34" s="21" t="str">
        <f>i34 / 3372490.28</f>
      </c>
    </row>
    <row customHeight="1" ht="39" r="35">
      <c r="A35" s="17" t="inlineStr">
        <is>
          <t> 03.2 </t>
        </is>
      </c>
      <c r="B35" s="19" t="inlineStr">
        <is>
          <t> 104790 </t>
        </is>
      </c>
      <c r="C35" s="17" t="inlineStr">
        <is>
          <t>SINAPI</t>
        </is>
      </c>
      <c r="D35" s="17" t="inlineStr">
        <is>
          <t>DEMOLIÇÃO DE PISO DE CONCRETO SIMPLES, DE FORMA MECANIZADA COM MARTELETE, SEM REAPROVEITAMENTO. AF_09/2023</t>
        </is>
      </c>
      <c r="E35" s="18" t="inlineStr">
        <is>
          <t>m³</t>
        </is>
      </c>
      <c r="F35" s="19" t="n">
        <v>4.18</v>
      </c>
      <c r="G35" s="20" t="n">
        <v>126.25</v>
      </c>
      <c r="H35" s="20" t="str">
        <f>TRUNC(G35 * (1 + 29.07 / 100), 2)</f>
      </c>
      <c r="I35" s="20" t="str">
        <f>TRUNC(F35 * h35, 2)</f>
      </c>
      <c r="J35" s="21" t="str">
        <f>i35 / 3372490.28</f>
      </c>
    </row>
    <row customHeight="1" ht="39" r="36">
      <c r="A36" s="17" t="inlineStr">
        <is>
          <t> 03.3 </t>
        </is>
      </c>
      <c r="B36" s="19" t="inlineStr">
        <is>
          <t> 97625 </t>
        </is>
      </c>
      <c r="C36" s="17" t="inlineStr">
        <is>
          <t>SINAPI</t>
        </is>
      </c>
      <c r="D36" s="17" t="inlineStr">
        <is>
          <t>DEMOLIÇÃO DE ALVENARIA PARA QUALQUER TIPO DE BLOCO, DE FORMA MECANIZADA, SEM REAPROVEITAMENTO. AF_09/2023</t>
        </is>
      </c>
      <c r="E36" s="18" t="inlineStr">
        <is>
          <t>m³</t>
        </is>
      </c>
      <c r="F36" s="19" t="n">
        <v>127.83</v>
      </c>
      <c r="G36" s="20" t="n">
        <v>62.49</v>
      </c>
      <c r="H36" s="20" t="str">
        <f>TRUNC(G36 * (1 + 29.07 / 100), 2)</f>
      </c>
      <c r="I36" s="20" t="str">
        <f>TRUNC(F36 * h36, 2)</f>
      </c>
      <c r="J36" s="21" t="str">
        <f>i36 / 3372490.28</f>
      </c>
    </row>
    <row customHeight="1" ht="26" r="37">
      <c r="A37" s="17" t="inlineStr">
        <is>
          <t> 03.4 </t>
        </is>
      </c>
      <c r="B37" s="19" t="inlineStr">
        <is>
          <t> 104796 </t>
        </is>
      </c>
      <c r="C37" s="17" t="inlineStr">
        <is>
          <t>SINAPI</t>
        </is>
      </c>
      <c r="D37" s="17" t="inlineStr">
        <is>
          <t>DEMOLIÇÃO DE GUIAS, SARJETAS OU SARJETÕES, DE FORMA MECANIZADA, SEM REAPROVEITAMENTO. AF_09/2023</t>
        </is>
      </c>
      <c r="E37" s="18" t="inlineStr">
        <is>
          <t>M</t>
        </is>
      </c>
      <c r="F37" s="19" t="n">
        <v>76.71</v>
      </c>
      <c r="G37" s="20" t="n">
        <v>15.57</v>
      </c>
      <c r="H37" s="20" t="str">
        <f>TRUNC(G37 * (1 + 29.07 / 100), 2)</f>
      </c>
      <c r="I37" s="20" t="str">
        <f>TRUNC(F37 * h37, 2)</f>
      </c>
      <c r="J37" s="21" t="str">
        <f>i37 / 3372490.28</f>
      </c>
    </row>
    <row customHeight="1" ht="39" r="38">
      <c r="A38" s="17" t="inlineStr">
        <is>
          <t> 03.5 </t>
        </is>
      </c>
      <c r="B38" s="19" t="inlineStr">
        <is>
          <t> 97629 </t>
        </is>
      </c>
      <c r="C38" s="17" t="inlineStr">
        <is>
          <t>SINAPI</t>
        </is>
      </c>
      <c r="D38" s="17" t="inlineStr">
        <is>
          <t>DEMOLIÇÃO DE LAJES, EM CONCRETO ARMADO, DE FORMA MECANIZADA COM MARTELETE, SEM REAPROVEITAMENTO. AF_09/2023</t>
        </is>
      </c>
      <c r="E38" s="18" t="inlineStr">
        <is>
          <t>m³</t>
        </is>
      </c>
      <c r="F38" s="19" t="n">
        <v>1.75</v>
      </c>
      <c r="G38" s="20" t="n">
        <v>107.65</v>
      </c>
      <c r="H38" s="20" t="str">
        <f>TRUNC(G38 * (1 + 29.07 / 100), 2)</f>
      </c>
      <c r="I38" s="20" t="str">
        <f>TRUNC(F38 * h38, 2)</f>
      </c>
      <c r="J38" s="21" t="str">
        <f>i38 / 3372490.28</f>
      </c>
    </row>
    <row customHeight="1" ht="39" r="39">
      <c r="A39" s="17" t="inlineStr">
        <is>
          <t> 03.6 </t>
        </is>
      </c>
      <c r="B39" s="19" t="inlineStr">
        <is>
          <t> 97627 </t>
        </is>
      </c>
      <c r="C39" s="17" t="inlineStr">
        <is>
          <t>SINAPI</t>
        </is>
      </c>
      <c r="D39" s="17" t="inlineStr">
        <is>
          <t>DEMOLIÇÃO DE PILARES E VIGAS EM CONCRETO ARMADO, DE FORMA MECANIZADA COM MARTELETE, SEM REAPROVEITAMENTO. AF_09/2023</t>
        </is>
      </c>
      <c r="E39" s="18" t="inlineStr">
        <is>
          <t>m³</t>
        </is>
      </c>
      <c r="F39" s="19" t="n">
        <v>2.76</v>
      </c>
      <c r="G39" s="20" t="n">
        <v>231.16</v>
      </c>
      <c r="H39" s="20" t="str">
        <f>TRUNC(G39 * (1 + 29.07 / 100), 2)</f>
      </c>
      <c r="I39" s="20" t="str">
        <f>TRUNC(F39 * h39, 2)</f>
      </c>
      <c r="J39" s="21" t="str">
        <f>i39 / 3372490.28</f>
      </c>
    </row>
    <row customHeight="1" ht="26" r="40">
      <c r="A40" s="17" t="inlineStr">
        <is>
          <t> 03.7 </t>
        </is>
      </c>
      <c r="B40" s="19" t="inlineStr">
        <is>
          <t> 104800 </t>
        </is>
      </c>
      <c r="C40" s="17" t="inlineStr">
        <is>
          <t>SINAPI</t>
        </is>
      </c>
      <c r="D40" s="17" t="inlineStr">
        <is>
          <t>REMOÇÃO DE CERCAS E MOURÕES, DE FORMA MANUAL, SEM REAPROVEITAMENTO. AF_09/2023</t>
        </is>
      </c>
      <c r="E40" s="18" t="inlineStr">
        <is>
          <t>M</t>
        </is>
      </c>
      <c r="F40" s="19" t="n">
        <v>357.24</v>
      </c>
      <c r="G40" s="20" t="n">
        <v>9.61</v>
      </c>
      <c r="H40" s="20" t="str">
        <f>TRUNC(G40 * (1 + 29.07 / 100), 2)</f>
      </c>
      <c r="I40" s="20" t="str">
        <f>TRUNC(F40 * h40, 2)</f>
      </c>
      <c r="J40" s="21" t="str">
        <f>i40 / 3372490.28</f>
      </c>
    </row>
    <row customHeight="1" ht="26" r="41">
      <c r="A41" s="17" t="inlineStr">
        <is>
          <t> 03.8 </t>
        </is>
      </c>
      <c r="B41" s="19" t="inlineStr">
        <is>
          <t> ITA0009 </t>
        </is>
      </c>
      <c r="C41" s="17" t="inlineStr">
        <is>
          <t>Próprio</t>
        </is>
      </c>
      <c r="D41" s="17" t="inlineStr">
        <is>
          <t>DEMOLIÇÃO DE PISOS VINÍLICOS (PAVIFLEX), EXCLUSIVE CONTRA-PISO</t>
        </is>
      </c>
      <c r="E41" s="18" t="inlineStr">
        <is>
          <t>m²</t>
        </is>
      </c>
      <c r="F41" s="19" t="n">
        <v>655.26</v>
      </c>
      <c r="G41" s="20" t="n">
        <v>6.36</v>
      </c>
      <c r="H41" s="20" t="str">
        <f>TRUNC(G41 * (1 + 29.07 / 100), 2)</f>
      </c>
      <c r="I41" s="20" t="str">
        <f>TRUNC(F41 * h41, 2)</f>
      </c>
      <c r="J41" s="21" t="str">
        <f>i41 / 3372490.28</f>
      </c>
    </row>
    <row customHeight="1" ht="39" r="42">
      <c r="A42" s="17" t="inlineStr">
        <is>
          <t> 03.9 </t>
        </is>
      </c>
      <c r="B42" s="19" t="inlineStr">
        <is>
          <t> 97634 </t>
        </is>
      </c>
      <c r="C42" s="17" t="inlineStr">
        <is>
          <t>SINAPI</t>
        </is>
      </c>
      <c r="D42" s="17" t="inlineStr">
        <is>
          <t>DEMOLIÇÃO DE REVESTIMENTO CERÂMICO, DE FORMA MECANIZADA COM MARTELETE, SEM REAPROVEITAMENTO. AF_09/2023</t>
        </is>
      </c>
      <c r="E42" s="18" t="inlineStr">
        <is>
          <t>m²</t>
        </is>
      </c>
      <c r="F42" s="19" t="n">
        <v>60.98</v>
      </c>
      <c r="G42" s="20" t="n">
        <v>8.03</v>
      </c>
      <c r="H42" s="20" t="str">
        <f>TRUNC(G42 * (1 + 29.07 / 100), 2)</f>
      </c>
      <c r="I42" s="20" t="str">
        <f>TRUNC(F42 * h42, 2)</f>
      </c>
      <c r="J42" s="21" t="str">
        <f>i42 / 3372490.28</f>
      </c>
    </row>
    <row customHeight="1" ht="39" r="43">
      <c r="A43" s="17" t="inlineStr">
        <is>
          <t> 03.10 </t>
        </is>
      </c>
      <c r="B43" s="19" t="inlineStr">
        <is>
          <t> 97642 </t>
        </is>
      </c>
      <c r="C43" s="17" t="inlineStr">
        <is>
          <t>SINAPI</t>
        </is>
      </c>
      <c r="D43" s="17" t="inlineStr">
        <is>
          <t>REMOÇÃO DE TRAMA METÁLICA OU DE MADEIRA PARA FORRO, DE FORMA MANUAL, SEM REAPROVEITAMENTO. AF_09/2023</t>
        </is>
      </c>
      <c r="E43" s="18" t="inlineStr">
        <is>
          <t>m²</t>
        </is>
      </c>
      <c r="F43" s="19" t="n">
        <v>795.5</v>
      </c>
      <c r="G43" s="20" t="n">
        <v>2.96</v>
      </c>
      <c r="H43" s="20" t="str">
        <f>TRUNC(G43 * (1 + 29.07 / 100), 2)</f>
      </c>
      <c r="I43" s="20" t="str">
        <f>TRUNC(F43 * h43, 2)</f>
      </c>
      <c r="J43" s="21" t="str">
        <f>i43 / 3372490.28</f>
      </c>
    </row>
    <row customHeight="1" ht="26" r="44">
      <c r="A44" s="17" t="inlineStr">
        <is>
          <t> 03.11 </t>
        </is>
      </c>
      <c r="B44" s="19" t="inlineStr">
        <is>
          <t> ITA0013 </t>
        </is>
      </c>
      <c r="C44" s="17" t="inlineStr">
        <is>
          <t>Próprio</t>
        </is>
      </c>
      <c r="D44" s="17" t="inlineStr">
        <is>
          <t>REMOÇÃO DE ESTRUTURA METÁLICA CHUMBADA EM CONCRETO (ALAMBRADO, GUARDA-CORPO OU CORRIMÃO)</t>
        </is>
      </c>
      <c r="E44" s="18" t="inlineStr">
        <is>
          <t>m²</t>
        </is>
      </c>
      <c r="F44" s="19" t="n">
        <v>12.0</v>
      </c>
      <c r="G44" s="20" t="n">
        <v>63.6</v>
      </c>
      <c r="H44" s="20" t="str">
        <f>TRUNC(G44 * (1 + 29.07 / 100), 2)</f>
      </c>
      <c r="I44" s="20" t="str">
        <f>TRUNC(F44 * h44, 2)</f>
      </c>
      <c r="J44" s="21" t="str">
        <f>i44 / 3372490.28</f>
      </c>
    </row>
    <row customHeight="1" ht="39" r="45">
      <c r="A45" s="17" t="inlineStr">
        <is>
          <t> 03.12 </t>
        </is>
      </c>
      <c r="B45" s="19" t="inlineStr">
        <is>
          <t> 98533 </t>
        </is>
      </c>
      <c r="C45" s="17" t="inlineStr">
        <is>
          <t>SINAPI</t>
        </is>
      </c>
      <c r="D45" s="17" t="inlineStr">
        <is>
          <t>PODA EM ALTURA DE ÁRVORE COM DIÂMETRO DE TRONCO MAIOR OU IGUAL A 0,20 M E MENOR QUE 0,40 M. AF_03/2024</t>
        </is>
      </c>
      <c r="E45" s="18" t="inlineStr">
        <is>
          <t>UN</t>
        </is>
      </c>
      <c r="F45" s="19" t="n">
        <v>5.0</v>
      </c>
      <c r="G45" s="20" t="n">
        <v>111.98</v>
      </c>
      <c r="H45" s="20" t="str">
        <f>TRUNC(G45 * (1 + 29.07 / 100), 2)</f>
      </c>
      <c r="I45" s="20" t="str">
        <f>TRUNC(F45 * h45, 2)</f>
      </c>
      <c r="J45" s="21" t="str">
        <f>i45 / 3372490.28</f>
      </c>
    </row>
    <row customHeight="1" ht="39" r="46">
      <c r="A46" s="17" t="inlineStr">
        <is>
          <t> 03.13 </t>
        </is>
      </c>
      <c r="B46" s="19" t="inlineStr">
        <is>
          <t> 98534 </t>
        </is>
      </c>
      <c r="C46" s="17" t="inlineStr">
        <is>
          <t>SINAPI</t>
        </is>
      </c>
      <c r="D46" s="17" t="inlineStr">
        <is>
          <t>PODA EM ALTURA DE ÁRVORE COM DIÂMETRO DE TRONCO MAIOR OU IGUAL A 0,40 M E MENOR QUE 0,60 M. AF_03/2024</t>
        </is>
      </c>
      <c r="E46" s="18" t="inlineStr">
        <is>
          <t>UN</t>
        </is>
      </c>
      <c r="F46" s="19" t="n">
        <v>2.0</v>
      </c>
      <c r="G46" s="20" t="n">
        <v>309.82</v>
      </c>
      <c r="H46" s="20" t="str">
        <f>TRUNC(G46 * (1 + 29.07 / 100), 2)</f>
      </c>
      <c r="I46" s="20" t="str">
        <f>TRUNC(F46 * h46, 2)</f>
      </c>
      <c r="J46" s="21" t="str">
        <f>i46 / 3372490.28</f>
      </c>
    </row>
    <row customHeight="1" ht="39" r="47">
      <c r="A47" s="17" t="inlineStr">
        <is>
          <t> 03.14 </t>
        </is>
      </c>
      <c r="B47" s="19" t="inlineStr">
        <is>
          <t> 98526 </t>
        </is>
      </c>
      <c r="C47" s="17" t="inlineStr">
        <is>
          <t>SINAPI</t>
        </is>
      </c>
      <c r="D47" s="17" t="inlineStr">
        <is>
          <t>REMOÇÃO DE RAÍZES REMANESCENTES DE TRONCO DE ÁRVORE COM DIÂMETRO MAIOR OU IGUAL A 0,20 M E MENOR QUE 0,40 M. AF_03/2024</t>
        </is>
      </c>
      <c r="E47" s="18" t="inlineStr">
        <is>
          <t>UN</t>
        </is>
      </c>
      <c r="F47" s="19" t="n">
        <v>2.0</v>
      </c>
      <c r="G47" s="20" t="n">
        <v>136.12</v>
      </c>
      <c r="H47" s="20" t="str">
        <f>TRUNC(G47 * (1 + 29.07 / 100), 2)</f>
      </c>
      <c r="I47" s="20" t="str">
        <f>TRUNC(F47 * h47, 2)</f>
      </c>
      <c r="J47" s="21" t="str">
        <f>i47 / 3372490.28</f>
      </c>
    </row>
    <row customHeight="1" ht="39" r="48">
      <c r="A48" s="17" t="inlineStr">
        <is>
          <t> 03.15 </t>
        </is>
      </c>
      <c r="B48" s="19" t="inlineStr">
        <is>
          <t> 98527 </t>
        </is>
      </c>
      <c r="C48" s="17" t="inlineStr">
        <is>
          <t>SINAPI</t>
        </is>
      </c>
      <c r="D48" s="17" t="inlineStr">
        <is>
          <t>REMOÇÃO DE RAÍZES REMANESCENTES DE TRONCO DE ÁRVORE COM DIÂMETRO MAIOR OU IGUAL A 0,40 M E MENOR QUE 0,60 M. AF_03/2024</t>
        </is>
      </c>
      <c r="E48" s="18" t="inlineStr">
        <is>
          <t>UN</t>
        </is>
      </c>
      <c r="F48" s="19" t="n">
        <v>2.0</v>
      </c>
      <c r="G48" s="20" t="n">
        <v>225.9</v>
      </c>
      <c r="H48" s="20" t="str">
        <f>TRUNC(G48 * (1 + 29.07 / 100), 2)</f>
      </c>
      <c r="I48" s="20" t="str">
        <f>TRUNC(F48 * h48, 2)</f>
      </c>
      <c r="J48" s="21" t="str">
        <f>i48 / 3372490.28</f>
      </c>
    </row>
    <row customHeight="1" ht="26" r="49">
      <c r="A49" s="17" t="inlineStr">
        <is>
          <t> 03.16 </t>
        </is>
      </c>
      <c r="B49" s="19" t="inlineStr">
        <is>
          <t> 98535 </t>
        </is>
      </c>
      <c r="C49" s="17" t="inlineStr">
        <is>
          <t>SINAPI</t>
        </is>
      </c>
      <c r="D49" s="17" t="inlineStr">
        <is>
          <t>PODA EM ALTURA DE ÁRVORE COM DIÂMETRO DE TRONCO MAIOR OU IGUAL A 0,60 M. AF_03/2024</t>
        </is>
      </c>
      <c r="E49" s="18" t="inlineStr">
        <is>
          <t>UN</t>
        </is>
      </c>
      <c r="F49" s="19" t="n">
        <v>1.0</v>
      </c>
      <c r="G49" s="20" t="n">
        <v>648.69</v>
      </c>
      <c r="H49" s="20" t="str">
        <f>TRUNC(G49 * (1 + 29.07 / 100), 2)</f>
      </c>
      <c r="I49" s="20" t="str">
        <f>TRUNC(F49 * h49, 2)</f>
      </c>
      <c r="J49" s="21" t="str">
        <f>i49 / 3372490.28</f>
      </c>
    </row>
    <row customHeight="1" ht="24" r="50">
      <c r="A50" s="17" t="inlineStr">
        <is>
          <t> 03.17 </t>
        </is>
      </c>
      <c r="B50" s="19" t="inlineStr">
        <is>
          <t> ITA0057 </t>
        </is>
      </c>
      <c r="C50" s="17" t="inlineStr">
        <is>
          <t>Próprio</t>
        </is>
      </c>
      <c r="D50" s="17" t="inlineStr">
        <is>
          <t>REMOÇÃO DE PISO EM PEDRA PORTUGUESA</t>
        </is>
      </c>
      <c r="E50" s="18" t="inlineStr">
        <is>
          <t>m²</t>
        </is>
      </c>
      <c r="F50" s="19" t="n">
        <v>112.25</v>
      </c>
      <c r="G50" s="20" t="n">
        <v>13.5</v>
      </c>
      <c r="H50" s="20" t="str">
        <f>TRUNC(G50 * (1 + 29.07 / 100), 2)</f>
      </c>
      <c r="I50" s="20" t="str">
        <f>TRUNC(F50 * h50, 2)</f>
      </c>
      <c r="J50" s="21" t="str">
        <f>i50 / 3372490.28</f>
      </c>
    </row>
    <row customHeight="1" ht="39" r="51">
      <c r="A51" s="17" t="inlineStr">
        <is>
          <t> 03.18 </t>
        </is>
      </c>
      <c r="B51" s="19" t="inlineStr">
        <is>
          <t> 97647 </t>
        </is>
      </c>
      <c r="C51" s="17" t="inlineStr">
        <is>
          <t>SINAPI</t>
        </is>
      </c>
      <c r="D51" s="17" t="inlineStr">
        <is>
          <t>REMOÇÃO DE TELHAS DE FIBROCIMENTO METÁLICA E CERÂMICA, DE FORMA MANUAL, SEM REAPROVEITAMENTO. AF_09/2023</t>
        </is>
      </c>
      <c r="E51" s="18" t="inlineStr">
        <is>
          <t>m²</t>
        </is>
      </c>
      <c r="F51" s="19" t="n">
        <v>826.01</v>
      </c>
      <c r="G51" s="20" t="n">
        <v>3.59</v>
      </c>
      <c r="H51" s="20" t="str">
        <f>TRUNC(G51 * (1 + 29.07 / 100), 2)</f>
      </c>
      <c r="I51" s="20" t="str">
        <f>TRUNC(F51 * h51, 2)</f>
      </c>
      <c r="J51" s="21" t="str">
        <f>i51 / 3372490.28</f>
      </c>
    </row>
    <row customHeight="1" ht="24" r="52">
      <c r="A52" s="9" t="inlineStr">
        <is>
          <t> 04 </t>
        </is>
      </c>
      <c r="B52" s="9"/>
      <c r="C52" s="9"/>
      <c r="D52" s="9" t="inlineStr">
        <is>
          <t>CARGAS E TRANSPORTES</t>
        </is>
      </c>
      <c r="E52" s="9"/>
      <c r="F52" s="11"/>
      <c r="G52" s="9"/>
      <c r="H52" s="9"/>
      <c r="I52" s="12" t="n">
        <v>54155.41</v>
      </c>
      <c r="J52" s="13" t="str">
        <f>i52 / 3372490.28</f>
      </c>
    </row>
    <row customHeight="1" ht="26" r="53">
      <c r="A53" s="17" t="inlineStr">
        <is>
          <t> 04.1 </t>
        </is>
      </c>
      <c r="B53" s="19" t="inlineStr">
        <is>
          <t> JAC0006 </t>
        </is>
      </c>
      <c r="C53" s="17" t="inlineStr">
        <is>
          <t>Próprio</t>
        </is>
      </c>
      <c r="D53" s="17" t="inlineStr">
        <is>
          <t>CARGA MANUAIS DE ENTULHO EM CAMINHÃO BASCULANTE 10M³</t>
        </is>
      </c>
      <c r="E53" s="18" t="inlineStr">
        <is>
          <t>m³</t>
        </is>
      </c>
      <c r="F53" s="19" t="n">
        <v>179.55</v>
      </c>
      <c r="G53" s="20" t="n">
        <v>21.2</v>
      </c>
      <c r="H53" s="20" t="str">
        <f>TRUNC(G53 * (1 + 29.07 / 100), 2)</f>
      </c>
      <c r="I53" s="20" t="str">
        <f>TRUNC(F53 * h53, 2)</f>
      </c>
      <c r="J53" s="21" t="str">
        <f>i53 / 3372490.28</f>
      </c>
    </row>
    <row customHeight="1" ht="52" r="54">
      <c r="A54" s="17" t="inlineStr">
        <is>
          <t> 04.2 </t>
        </is>
      </c>
      <c r="B54" s="19" t="inlineStr">
        <is>
          <t> 100974 </t>
        </is>
      </c>
      <c r="C54" s="17" t="inlineStr">
        <is>
          <t>SINAPI</t>
        </is>
      </c>
      <c r="D54" s="17" t="inlineStr">
        <is>
          <t>CARGA, MANOBRA E DESCARGA DE SOLOS E MATERIAIS GRANULARES EM CAMINHÃO BASCULANTE 10 M³ - CARGA COM PÁ CARREGADEIRA (CAÇAMBA DE 1,7 A 2,8 M³ / 128 HP) E DESCARGA LIVRE (UNIDADE: M3). AF_07/2020</t>
        </is>
      </c>
      <c r="E54" s="18" t="inlineStr">
        <is>
          <t>m³</t>
        </is>
      </c>
      <c r="F54" s="19" t="n">
        <v>479.53</v>
      </c>
      <c r="G54" s="20" t="n">
        <v>8.67</v>
      </c>
      <c r="H54" s="20" t="str">
        <f>TRUNC(G54 * (1 + 29.07 / 100), 2)</f>
      </c>
      <c r="I54" s="20" t="str">
        <f>TRUNC(F54 * h54, 2)</f>
      </c>
      <c r="J54" s="21" t="str">
        <f>i54 / 3372490.28</f>
      </c>
    </row>
    <row customHeight="1" ht="39" r="55">
      <c r="A55" s="17" t="inlineStr">
        <is>
          <t> 04.3 </t>
        </is>
      </c>
      <c r="B55" s="19" t="inlineStr">
        <is>
          <t> 95875 </t>
        </is>
      </c>
      <c r="C55" s="17" t="inlineStr">
        <is>
          <t>SINAPI</t>
        </is>
      </c>
      <c r="D55" s="17" t="inlineStr">
        <is>
          <t>TRANSPORTE COM CAMINHÃO BASCULANTE DE 10 M³, EM VIA URBANA PAVIMENTADA, DMT ATÉ 30 KM (UNIDADE: M3XKM). AF_07/2020</t>
        </is>
      </c>
      <c r="E55" s="18" t="inlineStr">
        <is>
          <t>M3XKM</t>
        </is>
      </c>
      <c r="F55" s="19" t="n">
        <v>14385.9</v>
      </c>
      <c r="G55" s="20" t="n">
        <v>2.37</v>
      </c>
      <c r="H55" s="20" t="str">
        <f>TRUNC(G55 * (1 + 29.07 / 100), 2)</f>
      </c>
      <c r="I55" s="20" t="str">
        <f>TRUNC(F55 * h55, 2)</f>
      </c>
      <c r="J55" s="21" t="str">
        <f>i55 / 3372490.28</f>
      </c>
    </row>
    <row customHeight="1" ht="24" r="56">
      <c r="A56" s="9" t="inlineStr">
        <is>
          <t> 05 </t>
        </is>
      </c>
      <c r="B56" s="9"/>
      <c r="C56" s="9"/>
      <c r="D56" s="9" t="inlineStr">
        <is>
          <t>RECUPERAÇÃO ESTRUTURAL</t>
        </is>
      </c>
      <c r="E56" s="9"/>
      <c r="F56" s="11"/>
      <c r="G56" s="9"/>
      <c r="H56" s="9"/>
      <c r="I56" s="12" t="n">
        <v>74434.09</v>
      </c>
      <c r="J56" s="13" t="str">
        <f>i56 / 3372490.28</f>
      </c>
    </row>
    <row customHeight="1" ht="78" r="57">
      <c r="A57" s="17" t="inlineStr">
        <is>
          <t> 05.1 </t>
        </is>
      </c>
      <c r="B57" s="19" t="inlineStr">
        <is>
          <t> RECEST </t>
        </is>
      </c>
      <c r="C57" s="17" t="inlineStr">
        <is>
          <t>Próprio</t>
        </is>
      </c>
      <c r="D57" s="17" t="inlineStr">
        <is>
          <t>RECUPERAÇÃO DE ESTRUTURA DE CONCRETO ARMADO (INCLUSO DEMARCAÇÃO, DEMOLIÇÃO DO CONCRETO, LIMPEZA COM JATO DE ÁGUA, LIXAMENTO, PROTEÇÃO E RECOMPOSIÇÃO DAS ARMADURAS, APLICAÇÃO DE PONTE DE ADERÊNCIA E ESTUCAMENTO COM ARGAMASSA POLIMÉRICA) - MATERIAL E MÃO DE OBRA</t>
        </is>
      </c>
      <c r="E57" s="18" t="inlineStr">
        <is>
          <t>m²</t>
        </is>
      </c>
      <c r="F57" s="19" t="n">
        <v>84.65</v>
      </c>
      <c r="G57" s="20" t="n">
        <v>584.35</v>
      </c>
      <c r="H57" s="20" t="str">
        <f>TRUNC(G57 * (1 + 29.07 / 100), 2)</f>
      </c>
      <c r="I57" s="20" t="str">
        <f>TRUNC(F57 * h57, 2)</f>
      </c>
      <c r="J57" s="21" t="str">
        <f>i57 / 3372490.28</f>
      </c>
    </row>
    <row customHeight="1" ht="26" r="58">
      <c r="A58" s="17" t="inlineStr">
        <is>
          <t> 05.2 </t>
        </is>
      </c>
      <c r="B58" s="19" t="inlineStr">
        <is>
          <t> ITA0042 </t>
        </is>
      </c>
      <c r="C58" s="17" t="inlineStr">
        <is>
          <t>Próprio</t>
        </is>
      </c>
      <c r="D58" s="17" t="inlineStr">
        <is>
          <t>RECUPERAÇÃO DE ESCADA METALICA, LIXAMENTO, SUBSTITUIÇÃO DE PARTES E PINTURA DE FUNDO E ACABAMENTO</t>
        </is>
      </c>
      <c r="E58" s="18" t="inlineStr">
        <is>
          <t>M</t>
        </is>
      </c>
      <c r="F58" s="19" t="n">
        <v>7.5</v>
      </c>
      <c r="G58" s="20" t="n">
        <v>149.14</v>
      </c>
      <c r="H58" s="20" t="str">
        <f>TRUNC(G58 * (1 + 29.07 / 100), 2)</f>
      </c>
      <c r="I58" s="20" t="str">
        <f>TRUNC(F58 * h58, 2)</f>
      </c>
      <c r="J58" s="21" t="str">
        <f>i58 / 3372490.28</f>
      </c>
    </row>
    <row customHeight="1" ht="65" r="59">
      <c r="A59" s="17" t="inlineStr">
        <is>
          <t> 05.2 </t>
        </is>
      </c>
      <c r="B59" s="19" t="inlineStr">
        <is>
          <t> RECEST 1 </t>
        </is>
      </c>
      <c r="C59" s="17" t="inlineStr">
        <is>
          <t>Próprio</t>
        </is>
      </c>
      <c r="D59" s="17" t="inlineStr">
        <is>
          <t>RECUPERAÇÃO DE ESTRUTURA DE CONCRETO ARMADO (INCLUSO DEMARCAÇÃO, DEMOLIÇÃO DO CONCRETO, LIMPEZA COM JATO DE ÁGUA, LIXAMENTO, PROTEÇÃO E  APLICAÇÃO DE PONTE DE ADERÊNCIA E ESTUCAMENTO COM ARGAMASSA POLIMÉRICA) - MATERIAL E MÃO DE OBRA</t>
        </is>
      </c>
      <c r="E59" s="18" t="inlineStr">
        <is>
          <t>m²</t>
        </is>
      </c>
      <c r="F59" s="19" t="n">
        <v>12.3</v>
      </c>
      <c r="G59" s="20" t="n">
        <v>452.57</v>
      </c>
      <c r="H59" s="20" t="str">
        <f>TRUNC(G59 * (1 + 29.07 / 100), 2)</f>
      </c>
      <c r="I59" s="20" t="str">
        <f>TRUNC(F59 * h59, 2)</f>
      </c>
      <c r="J59" s="21" t="str">
        <f>i59 / 3372490.28</f>
      </c>
    </row>
    <row customHeight="1" ht="24" r="60">
      <c r="A60" s="17" t="inlineStr">
        <is>
          <t> 05.3 </t>
        </is>
      </c>
      <c r="B60" s="19" t="inlineStr">
        <is>
          <t> ITA0046 </t>
        </is>
      </c>
      <c r="C60" s="17" t="inlineStr">
        <is>
          <t>Próprio</t>
        </is>
      </c>
      <c r="D60" s="17" t="inlineStr">
        <is>
          <t>GRAUTEAMENTO DAS ABERTURA DA LAJE.</t>
        </is>
      </c>
      <c r="E60" s="18" t="inlineStr">
        <is>
          <t>m²</t>
        </is>
      </c>
      <c r="F60" s="19" t="n">
        <v>5.5</v>
      </c>
      <c r="G60" s="20" t="n">
        <v>276.23</v>
      </c>
      <c r="H60" s="20" t="str">
        <f>TRUNC(G60 * (1 + 29.07 / 100), 2)</f>
      </c>
      <c r="I60" s="20" t="str">
        <f>TRUNC(F60 * h60, 2)</f>
      </c>
      <c r="J60" s="21" t="str">
        <f>i60 / 3372490.28</f>
      </c>
    </row>
    <row customHeight="1" ht="24" r="61">
      <c r="A61" s="9" t="inlineStr">
        <is>
          <t> 06 </t>
        </is>
      </c>
      <c r="B61" s="9"/>
      <c r="C61" s="9"/>
      <c r="D61" s="9" t="inlineStr">
        <is>
          <t>FUNDAÇÃO E ESTRUTURA</t>
        </is>
      </c>
      <c r="E61" s="9"/>
      <c r="F61" s="11"/>
      <c r="G61" s="9"/>
      <c r="H61" s="9"/>
      <c r="I61" s="12" t="n">
        <v>146405.71</v>
      </c>
      <c r="J61" s="13" t="str">
        <f>i61 / 3372490.28</f>
      </c>
    </row>
    <row customHeight="1" ht="24" r="62">
      <c r="A62" s="9" t="inlineStr">
        <is>
          <t> 06.1 </t>
        </is>
      </c>
      <c r="B62" s="9"/>
      <c r="C62" s="9"/>
      <c r="D62" s="9" t="inlineStr">
        <is>
          <t>ELEVADOR E ESCADA INTERNA</t>
        </is>
      </c>
      <c r="E62" s="9"/>
      <c r="F62" s="11"/>
      <c r="G62" s="9"/>
      <c r="H62" s="9"/>
      <c r="I62" s="12" t="n">
        <v>43278.92</v>
      </c>
      <c r="J62" s="13" t="str">
        <f>i62 / 3372490.28</f>
      </c>
    </row>
    <row customHeight="1" ht="24" r="63">
      <c r="A63" s="9" t="inlineStr">
        <is>
          <t> 06.1.1 </t>
        </is>
      </c>
      <c r="B63" s="9"/>
      <c r="C63" s="9"/>
      <c r="D63" s="9" t="inlineStr">
        <is>
          <t>MOVIMENTO DE TERRA</t>
        </is>
      </c>
      <c r="E63" s="9"/>
      <c r="F63" s="11"/>
      <c r="G63" s="9"/>
      <c r="H63" s="9"/>
      <c r="I63" s="12" t="n">
        <v>5764.13</v>
      </c>
      <c r="J63" s="13" t="str">
        <f>i63 / 3372490.28</f>
      </c>
    </row>
    <row customHeight="1" ht="39" r="64">
      <c r="A64" s="17" t="inlineStr">
        <is>
          <t> 06.1.1.1 </t>
        </is>
      </c>
      <c r="B64" s="19" t="inlineStr">
        <is>
          <t> 96523 </t>
        </is>
      </c>
      <c r="C64" s="17" t="inlineStr">
        <is>
          <t>SINAPI</t>
        </is>
      </c>
      <c r="D64" s="17" t="inlineStr">
        <is>
          <t>ESCAVAÇÃO MANUAL PARA BLOCO DE COROAMENTO OU SAPATA (INCLUINDO ESCAVAÇÃO PARA COLOCAÇÃO DE FÔRMAS). AF_01/2024</t>
        </is>
      </c>
      <c r="E64" s="18" t="inlineStr">
        <is>
          <t>m³</t>
        </is>
      </c>
      <c r="F64" s="19" t="n">
        <v>27.31</v>
      </c>
      <c r="G64" s="20" t="n">
        <v>94.28</v>
      </c>
      <c r="H64" s="20" t="str">
        <f>TRUNC(G64 * (1 + 29.07 / 100), 2)</f>
      </c>
      <c r="I64" s="20" t="str">
        <f>TRUNC(F64 * h64, 2)</f>
      </c>
      <c r="J64" s="21" t="str">
        <f>i64 / 3372490.28</f>
      </c>
    </row>
    <row customHeight="1" ht="39" r="65">
      <c r="A65" s="17" t="inlineStr">
        <is>
          <t> 06.1.1.2 </t>
        </is>
      </c>
      <c r="B65" s="19" t="inlineStr">
        <is>
          <t> 96527 </t>
        </is>
      </c>
      <c r="C65" s="17" t="inlineStr">
        <is>
          <t>SINAPI</t>
        </is>
      </c>
      <c r="D65" s="17" t="inlineStr">
        <is>
          <t>ESCAVAÇÃO MANUAL PARA VIGA BALDRAME OU SAPATA CORRIDA (INCLUINDO ESCAVAÇÃO PARA COLOCAÇÃO DE FÔRMAS). AF_01/2024</t>
        </is>
      </c>
      <c r="E65" s="18" t="inlineStr">
        <is>
          <t>m³</t>
        </is>
      </c>
      <c r="F65" s="19" t="n">
        <v>2.91</v>
      </c>
      <c r="G65" s="20" t="n">
        <v>103.62</v>
      </c>
      <c r="H65" s="20" t="str">
        <f>TRUNC(G65 * (1 + 29.07 / 100), 2)</f>
      </c>
      <c r="I65" s="20" t="str">
        <f>TRUNC(F65 * h65, 2)</f>
      </c>
      <c r="J65" s="21" t="str">
        <f>i65 / 3372490.28</f>
      </c>
    </row>
    <row customHeight="1" ht="24" r="66">
      <c r="A66" s="17" t="inlineStr">
        <is>
          <t> 06.1.1.3 </t>
        </is>
      </c>
      <c r="B66" s="19" t="inlineStr">
        <is>
          <t> RC0052 </t>
        </is>
      </c>
      <c r="C66" s="17" t="inlineStr">
        <is>
          <t>Próprio</t>
        </is>
      </c>
      <c r="D66" s="17" t="inlineStr">
        <is>
          <t>REGULARIZAÇÃO MANUAL</t>
        </is>
      </c>
      <c r="E66" s="18" t="inlineStr">
        <is>
          <t>m²</t>
        </is>
      </c>
      <c r="F66" s="19" t="n">
        <v>28.55</v>
      </c>
      <c r="G66" s="20" t="n">
        <v>6.36</v>
      </c>
      <c r="H66" s="20" t="str">
        <f>TRUNC(G66 * (1 + 29.07 / 100), 2)</f>
      </c>
      <c r="I66" s="20" t="str">
        <f>TRUNC(F66 * h66, 2)</f>
      </c>
      <c r="J66" s="21" t="str">
        <f>i66 / 3372490.28</f>
      </c>
    </row>
    <row customHeight="1" ht="24" r="67">
      <c r="A67" s="17" t="inlineStr">
        <is>
          <t> 06.1.1.4 </t>
        </is>
      </c>
      <c r="B67" s="19" t="inlineStr">
        <is>
          <t> 96995 </t>
        </is>
      </c>
      <c r="C67" s="17" t="inlineStr">
        <is>
          <t>SINAPI</t>
        </is>
      </c>
      <c r="D67" s="17" t="inlineStr">
        <is>
          <t>REATERRO MANUAL APILOADO COM SOQUETE. AF_10/2017</t>
        </is>
      </c>
      <c r="E67" s="18" t="inlineStr">
        <is>
          <t>m³</t>
        </is>
      </c>
      <c r="F67" s="19" t="n">
        <v>20.95</v>
      </c>
      <c r="G67" s="20" t="n">
        <v>50.85</v>
      </c>
      <c r="H67" s="20" t="str">
        <f>TRUNC(G67 * (1 + 29.07 / 100), 2)</f>
      </c>
      <c r="I67" s="20" t="str">
        <f>TRUNC(F67 * h67, 2)</f>
      </c>
      <c r="J67" s="21" t="str">
        <f>i67 / 3372490.28</f>
      </c>
    </row>
    <row customHeight="1" ht="52" r="68">
      <c r="A68" s="17" t="inlineStr">
        <is>
          <t> 06.1.1.5 </t>
        </is>
      </c>
      <c r="B68" s="19" t="inlineStr">
        <is>
          <t> 100974 </t>
        </is>
      </c>
      <c r="C68" s="17" t="inlineStr">
        <is>
          <t>SINAPI</t>
        </is>
      </c>
      <c r="D68" s="17" t="inlineStr">
        <is>
          <t>CARGA, MANOBRA E DESCARGA DE SOLOS E MATERIAIS GRANULARES EM CAMINHÃO BASCULANTE 10 M³ - CARGA COM PÁ CARREGADEIRA (CAÇAMBA DE 1,7 A 2,8 M³ / 128 HP) E DESCARGA LIVRE (UNIDADE: M3). AF_07/2020</t>
        </is>
      </c>
      <c r="E68" s="18" t="inlineStr">
        <is>
          <t>m³</t>
        </is>
      </c>
      <c r="F68" s="19" t="n">
        <v>4.31</v>
      </c>
      <c r="G68" s="20" t="n">
        <v>8.67</v>
      </c>
      <c r="H68" s="20" t="str">
        <f>TRUNC(G68 * (1 + 29.07 / 100), 2)</f>
      </c>
      <c r="I68" s="20" t="str">
        <f>TRUNC(F68 * h68, 2)</f>
      </c>
      <c r="J68" s="21" t="str">
        <f>i68 / 3372490.28</f>
      </c>
    </row>
    <row customHeight="1" ht="39" r="69">
      <c r="A69" s="17" t="inlineStr">
        <is>
          <t> 06.1.1.6 </t>
        </is>
      </c>
      <c r="B69" s="19" t="inlineStr">
        <is>
          <t> 95875 </t>
        </is>
      </c>
      <c r="C69" s="17" t="inlineStr">
        <is>
          <t>SINAPI</t>
        </is>
      </c>
      <c r="D69" s="17" t="inlineStr">
        <is>
          <t>TRANSPORTE COM CAMINHÃO BASCULANTE DE 10 M³, EM VIA URBANA PAVIMENTADA, DMT ATÉ 30 KM (UNIDADE: M3XKM). AF_07/2020</t>
        </is>
      </c>
      <c r="E69" s="18" t="inlineStr">
        <is>
          <t>M3XKM</t>
        </is>
      </c>
      <c r="F69" s="19" t="n">
        <v>129.38</v>
      </c>
      <c r="G69" s="20" t="n">
        <v>2.37</v>
      </c>
      <c r="H69" s="20" t="str">
        <f>TRUNC(G69 * (1 + 29.07 / 100), 2)</f>
      </c>
      <c r="I69" s="20" t="str">
        <f>TRUNC(F69 * h69, 2)</f>
      </c>
      <c r="J69" s="21" t="str">
        <f>i69 / 3372490.28</f>
      </c>
    </row>
    <row customHeight="1" ht="24" r="70">
      <c r="A70" s="9" t="inlineStr">
        <is>
          <t> 06.1.2 </t>
        </is>
      </c>
      <c r="B70" s="9"/>
      <c r="C70" s="9"/>
      <c r="D70" s="9" t="inlineStr">
        <is>
          <t>FUNDAÇÃO</t>
        </is>
      </c>
      <c r="E70" s="9"/>
      <c r="F70" s="11"/>
      <c r="G70" s="9"/>
      <c r="H70" s="9"/>
      <c r="I70" s="12" t="n">
        <v>10006.35</v>
      </c>
      <c r="J70" s="13" t="str">
        <f>i70 / 3372490.28</f>
      </c>
    </row>
    <row customHeight="1" ht="26" r="71">
      <c r="A71" s="17" t="inlineStr">
        <is>
          <t> 06.1.2.1 </t>
        </is>
      </c>
      <c r="B71" s="19" t="inlineStr">
        <is>
          <t> 96616 </t>
        </is>
      </c>
      <c r="C71" s="17" t="inlineStr">
        <is>
          <t>SINAPI</t>
        </is>
      </c>
      <c r="D71" s="17" t="inlineStr">
        <is>
          <t>LASTRO DE CONCRETO MAGRO, APLICADO EM BLOCOS DE COROAMENTO OU SAPATAS. AF_01/2024</t>
        </is>
      </c>
      <c r="E71" s="18" t="inlineStr">
        <is>
          <t>m³</t>
        </is>
      </c>
      <c r="F71" s="19" t="n">
        <v>0.68</v>
      </c>
      <c r="G71" s="20" t="n">
        <v>830.44</v>
      </c>
      <c r="H71" s="20" t="str">
        <f>TRUNC(G71 * (1 + 29.07 / 100), 2)</f>
      </c>
      <c r="I71" s="20" t="str">
        <f>TRUNC(F71 * h71, 2)</f>
      </c>
      <c r="J71" s="21" t="str">
        <f>i71 / 3372490.28</f>
      </c>
    </row>
    <row customHeight="1" ht="39" r="72">
      <c r="A72" s="17" t="inlineStr">
        <is>
          <t> 06.1.2.2 </t>
        </is>
      </c>
      <c r="B72" s="19" t="inlineStr">
        <is>
          <t> 96529 </t>
        </is>
      </c>
      <c r="C72" s="17" t="inlineStr">
        <is>
          <t>SINAPI</t>
        </is>
      </c>
      <c r="D72" s="17" t="inlineStr">
        <is>
          <t>FABRICAÇÃO, MONTAGEM E DESMONTAGEM DE FÔRMA PARA SAPATA, EM MADEIRA SERRADA, E=25 MM, 1 UTILIZAÇÃO. AF_01/2024</t>
        </is>
      </c>
      <c r="E72" s="18" t="inlineStr">
        <is>
          <t>m²</t>
        </is>
      </c>
      <c r="F72" s="19" t="n">
        <v>7.56</v>
      </c>
      <c r="G72" s="20" t="n">
        <v>283.34</v>
      </c>
      <c r="H72" s="20" t="str">
        <f>TRUNC(G72 * (1 + 29.07 / 100), 2)</f>
      </c>
      <c r="I72" s="20" t="str">
        <f>TRUNC(F72 * h72, 2)</f>
      </c>
      <c r="J72" s="21" t="str">
        <f>i72 / 3372490.28</f>
      </c>
    </row>
    <row customHeight="1" ht="39" r="73">
      <c r="A73" s="17" t="inlineStr">
        <is>
          <t> 06.1.2.3 </t>
        </is>
      </c>
      <c r="B73" s="19" t="inlineStr">
        <is>
          <t> 96530 </t>
        </is>
      </c>
      <c r="C73" s="17" t="inlineStr">
        <is>
          <t>SINAPI</t>
        </is>
      </c>
      <c r="D73" s="17" t="inlineStr">
        <is>
          <t>FABRICAÇÃO, MONTAGEM E DESMONTAGEM DE FÔRMA PARA VIGA BALDRAME, EM MADEIRA SERRADA, E=25 MM, 1 UTILIZAÇÃO. AF_01/2024</t>
        </is>
      </c>
      <c r="E73" s="18" t="inlineStr">
        <is>
          <t>m²</t>
        </is>
      </c>
      <c r="F73" s="19" t="n">
        <v>5.5</v>
      </c>
      <c r="G73" s="20" t="n">
        <v>158.34</v>
      </c>
      <c r="H73" s="20" t="str">
        <f>TRUNC(G73 * (1 + 29.07 / 100), 2)</f>
      </c>
      <c r="I73" s="20" t="str">
        <f>TRUNC(F73 * h73, 2)</f>
      </c>
      <c r="J73" s="21" t="str">
        <f>i73 / 3372490.28</f>
      </c>
    </row>
    <row customHeight="1" ht="39" r="74">
      <c r="A74" s="17" t="inlineStr">
        <is>
          <t> 06.1.2.4 </t>
        </is>
      </c>
      <c r="B74" s="19" t="inlineStr">
        <is>
          <t> 104916 </t>
        </is>
      </c>
      <c r="C74" s="17" t="inlineStr">
        <is>
          <t>SINAPI</t>
        </is>
      </c>
      <c r="D74" s="17" t="inlineStr">
        <is>
          <t>ARMAÇÃO DE SAPATA ISOLADA, VIGA BALDRAME E SAPATA CORRIDA UTILIZANDO AÇO CA-60 DE 5 MM - MONTAGEM. AF_01/2024</t>
        </is>
      </c>
      <c r="E74" s="18" t="inlineStr">
        <is>
          <t>KG</t>
        </is>
      </c>
      <c r="F74" s="19" t="n">
        <v>9.0</v>
      </c>
      <c r="G74" s="20" t="n">
        <v>16.4</v>
      </c>
      <c r="H74" s="20" t="str">
        <f>TRUNC(G74 * (1 + 29.07 / 100), 2)</f>
      </c>
      <c r="I74" s="20" t="str">
        <f>TRUNC(F74 * h74, 2)</f>
      </c>
      <c r="J74" s="21" t="str">
        <f>i74 / 3372490.28</f>
      </c>
    </row>
    <row customHeight="1" ht="39" r="75">
      <c r="A75" s="17" t="inlineStr">
        <is>
          <t> 06.1.2.5 </t>
        </is>
      </c>
      <c r="B75" s="19" t="inlineStr">
        <is>
          <t> 104918 </t>
        </is>
      </c>
      <c r="C75" s="17" t="inlineStr">
        <is>
          <t>SINAPI</t>
        </is>
      </c>
      <c r="D75" s="17" t="inlineStr">
        <is>
          <t>ARMAÇÃO DE SAPATA ISOLADA, VIGA BALDRAME E SAPATA CORRIDA UTILIZANDO AÇO CA-50 DE 8 MM - MONTAGEM. AF_01/2024</t>
        </is>
      </c>
      <c r="E75" s="18" t="inlineStr">
        <is>
          <t>KG</t>
        </is>
      </c>
      <c r="F75" s="19" t="n">
        <v>19.0</v>
      </c>
      <c r="G75" s="20" t="n">
        <v>13.83</v>
      </c>
      <c r="H75" s="20" t="str">
        <f>TRUNC(G75 * (1 + 29.07 / 100), 2)</f>
      </c>
      <c r="I75" s="20" t="str">
        <f>TRUNC(F75 * h75, 2)</f>
      </c>
      <c r="J75" s="21" t="str">
        <f>i75 / 3372490.28</f>
      </c>
    </row>
    <row customHeight="1" ht="39" r="76">
      <c r="A76" s="17" t="inlineStr">
        <is>
          <t> 06.1.2.6 </t>
        </is>
      </c>
      <c r="B76" s="19" t="inlineStr">
        <is>
          <t> 104919 </t>
        </is>
      </c>
      <c r="C76" s="17" t="inlineStr">
        <is>
          <t>SINAPI</t>
        </is>
      </c>
      <c r="D76" s="17" t="inlineStr">
        <is>
          <t>ARMAÇÃO DE SAPATA ISOLADA, VIGA BALDRAME E SAPATA CORRIDA UTILIZANDO AÇO CA-50 DE 10 MM - MONTAGEM. AF_01/2024</t>
        </is>
      </c>
      <c r="E76" s="18" t="inlineStr">
        <is>
          <t>KG</t>
        </is>
      </c>
      <c r="F76" s="19" t="n">
        <v>74.0</v>
      </c>
      <c r="G76" s="20" t="n">
        <v>12.29</v>
      </c>
      <c r="H76" s="20" t="str">
        <f>TRUNC(G76 * (1 + 29.07 / 100), 2)</f>
      </c>
      <c r="I76" s="20" t="str">
        <f>TRUNC(F76 * h76, 2)</f>
      </c>
      <c r="J76" s="21" t="str">
        <f>i76 / 3372490.28</f>
      </c>
    </row>
    <row customHeight="1" ht="39" r="77">
      <c r="A77" s="17" t="inlineStr">
        <is>
          <t> 06.1.2.7 </t>
        </is>
      </c>
      <c r="B77" s="19" t="inlineStr">
        <is>
          <t> 92916 </t>
        </is>
      </c>
      <c r="C77" s="17" t="inlineStr">
        <is>
          <t>SINAPI</t>
        </is>
      </c>
      <c r="D77" s="17" t="inlineStr">
        <is>
          <t>ARMAÇÃO DE ESTRUTURAS DIVERSAS DE CONCRETO ARMADO, EXCETO VIGAS, PILARES, LAJES E FUNDAÇÕES, UTILIZANDO AÇO CA-50 DE 6,3 MM - MONTAGEM. AF_06/2022</t>
        </is>
      </c>
      <c r="E77" s="18" t="inlineStr">
        <is>
          <t>KG</t>
        </is>
      </c>
      <c r="F77" s="19" t="n">
        <v>20.0</v>
      </c>
      <c r="G77" s="20" t="n">
        <v>14.87</v>
      </c>
      <c r="H77" s="20" t="str">
        <f>TRUNC(G77 * (1 + 29.07 / 100), 2)</f>
      </c>
      <c r="I77" s="20" t="str">
        <f>TRUNC(F77 * h77, 2)</f>
      </c>
      <c r="J77" s="21" t="str">
        <f>i77 / 3372490.28</f>
      </c>
    </row>
    <row customHeight="1" ht="39" r="78">
      <c r="A78" s="17" t="inlineStr">
        <is>
          <t> 06.1.2.8 </t>
        </is>
      </c>
      <c r="B78" s="19" t="inlineStr">
        <is>
          <t> 96558 </t>
        </is>
      </c>
      <c r="C78" s="17" t="inlineStr">
        <is>
          <t>SINAPI</t>
        </is>
      </c>
      <c r="D78" s="17" t="inlineStr">
        <is>
          <t>CONCRETAGEM DE SAPATA, FCK 30 MPA, COM USO DE BOMBA - LANÇAMENTO, ADENSAMENTO E ACABAMENTO. AF_01/2024</t>
        </is>
      </c>
      <c r="E78" s="18" t="inlineStr">
        <is>
          <t>m³</t>
        </is>
      </c>
      <c r="F78" s="19" t="n">
        <v>1.7</v>
      </c>
      <c r="G78" s="20" t="n">
        <v>744.81</v>
      </c>
      <c r="H78" s="20" t="str">
        <f>TRUNC(G78 * (1 + 29.07 / 100), 2)</f>
      </c>
      <c r="I78" s="20" t="str">
        <f>TRUNC(F78 * h78, 2)</f>
      </c>
      <c r="J78" s="21" t="str">
        <f>i78 / 3372490.28</f>
      </c>
    </row>
    <row customHeight="1" ht="39" r="79">
      <c r="A79" s="17" t="inlineStr">
        <is>
          <t> 06.1.2.9 </t>
        </is>
      </c>
      <c r="B79" s="19" t="inlineStr">
        <is>
          <t> 96557 </t>
        </is>
      </c>
      <c r="C79" s="17" t="inlineStr">
        <is>
          <t>SINAPI</t>
        </is>
      </c>
      <c r="D79" s="17" t="inlineStr">
        <is>
          <t>CONCRETAGEM DE BLOCO DE COROAMENTO OU VIGA BALDRAME, FCK 30 MPA, COM USO DE BOMBA - LANÇAMENTO, ADENSAMENTO E ACABAMENTO. AF_01/2024</t>
        </is>
      </c>
      <c r="E79" s="18" t="inlineStr">
        <is>
          <t>m³</t>
        </is>
      </c>
      <c r="F79" s="19" t="n">
        <v>0.73</v>
      </c>
      <c r="G79" s="20" t="n">
        <v>712.42</v>
      </c>
      <c r="H79" s="20" t="str">
        <f>TRUNC(G79 * (1 + 29.07 / 100), 2)</f>
      </c>
      <c r="I79" s="20" t="str">
        <f>TRUNC(F79 * h79, 2)</f>
      </c>
      <c r="J79" s="21" t="str">
        <f>i79 / 3372490.28</f>
      </c>
    </row>
    <row customHeight="1" ht="39" r="80">
      <c r="A80" s="17" t="inlineStr">
        <is>
          <t> 06.1.2.10 </t>
        </is>
      </c>
      <c r="B80" s="19" t="inlineStr">
        <is>
          <t> 97096 </t>
        </is>
      </c>
      <c r="C80" s="17" t="inlineStr">
        <is>
          <t>SINAPI</t>
        </is>
      </c>
      <c r="D80" s="17" t="inlineStr">
        <is>
          <t>CONCRETAGEM DE RADIER, PISO DE CONCRETO OU LAJE SOBRE SOLO, FCK 30 MPA - LANÇAMENTO, ADENSAMENTO E ACABAMENTO. AF_09/2021</t>
        </is>
      </c>
      <c r="E80" s="18" t="inlineStr">
        <is>
          <t>m³</t>
        </is>
      </c>
      <c r="F80" s="19" t="n">
        <v>0.34</v>
      </c>
      <c r="G80" s="20" t="n">
        <v>617.04</v>
      </c>
      <c r="H80" s="20" t="str">
        <f>TRUNC(G80 * (1 + 29.07 / 100), 2)</f>
      </c>
      <c r="I80" s="20" t="str">
        <f>TRUNC(F80 * h80, 2)</f>
      </c>
      <c r="J80" s="21" t="str">
        <f>i80 / 3372490.28</f>
      </c>
    </row>
    <row customHeight="1" ht="26" r="81">
      <c r="A81" s="17" t="inlineStr">
        <is>
          <t> 06.1.2.11 </t>
        </is>
      </c>
      <c r="B81" s="19" t="inlineStr">
        <is>
          <t> 98557 </t>
        </is>
      </c>
      <c r="C81" s="17" t="inlineStr">
        <is>
          <t>SINAPI</t>
        </is>
      </c>
      <c r="D81" s="17" t="inlineStr">
        <is>
          <t>IMPERMEABILIZAÇÃO DE SUPERFÍCIE COM EMULSÃO ASFÁLTICA, 2 DEMÃOS. AF_09/2023</t>
        </is>
      </c>
      <c r="E81" s="18" t="inlineStr">
        <is>
          <t>m²</t>
        </is>
      </c>
      <c r="F81" s="19" t="n">
        <v>10.7</v>
      </c>
      <c r="G81" s="20" t="n">
        <v>46.28</v>
      </c>
      <c r="H81" s="20" t="str">
        <f>TRUNC(G81 * (1 + 29.07 / 100), 2)</f>
      </c>
      <c r="I81" s="20" t="str">
        <f>TRUNC(F81 * h81, 2)</f>
      </c>
      <c r="J81" s="21" t="str">
        <f>i81 / 3372490.28</f>
      </c>
    </row>
    <row customHeight="1" ht="39" r="82">
      <c r="A82" s="17" t="inlineStr">
        <is>
          <t> 06.1.2.12 </t>
        </is>
      </c>
      <c r="B82" s="19" t="inlineStr">
        <is>
          <t> RC0165 </t>
        </is>
      </c>
      <c r="C82" s="17" t="inlineStr">
        <is>
          <t>Próprio</t>
        </is>
      </c>
      <c r="D82" s="17" t="inlineStr">
        <is>
          <t>CONTROLE TECNOLÓGICO DE CONCRETO - POR ROMPIMENTO DE CORPO DE PROVA - INCLUINDO EMISSÃO DE CERTIFICADOS</t>
        </is>
      </c>
      <c r="E82" s="18" t="inlineStr">
        <is>
          <t>UND</t>
        </is>
      </c>
      <c r="F82" s="19" t="n">
        <v>4.0</v>
      </c>
      <c r="G82" s="20" t="n">
        <v>16.75</v>
      </c>
      <c r="H82" s="20" t="str">
        <f>TRUNC(G82 * (1 + 29.07 / 100), 2)</f>
      </c>
      <c r="I82" s="20" t="str">
        <f>TRUNC(F82 * h82, 2)</f>
      </c>
      <c r="J82" s="21" t="str">
        <f>i82 / 3372490.28</f>
      </c>
    </row>
    <row customHeight="1" ht="24" r="83">
      <c r="A83" s="9" t="inlineStr">
        <is>
          <t> 06.1.3 </t>
        </is>
      </c>
      <c r="B83" s="9"/>
      <c r="C83" s="9"/>
      <c r="D83" s="9" t="inlineStr">
        <is>
          <t>ESTRUTURA</t>
        </is>
      </c>
      <c r="E83" s="9"/>
      <c r="F83" s="11"/>
      <c r="G83" s="9"/>
      <c r="H83" s="9"/>
      <c r="I83" s="12" t="n">
        <v>27508.44</v>
      </c>
      <c r="J83" s="13" t="str">
        <f>i83 / 3372490.28</f>
      </c>
    </row>
    <row customHeight="1" ht="52" r="84">
      <c r="A84" s="17" t="inlineStr">
        <is>
          <t> 06.1.3.1 </t>
        </is>
      </c>
      <c r="B84" s="19" t="inlineStr">
        <is>
          <t> 92415 </t>
        </is>
      </c>
      <c r="C84" s="17" t="inlineStr">
        <is>
          <t>SINAPI</t>
        </is>
      </c>
      <c r="D84" s="17" t="inlineStr">
        <is>
          <t>MONTAGEM E DESMONTAGEM DE FÔRMA DE PILARES RETANGULARES E ESTRUTURAS SIMILARES, PÉ-DIREITO SIMPLES, EM CHAPA DE MADEIRA COMPENSADA RESINADA, 2 UTILIZAÇÕES. AF_09/2020</t>
        </is>
      </c>
      <c r="E84" s="18" t="inlineStr">
        <is>
          <t>m²</t>
        </is>
      </c>
      <c r="F84" s="19" t="n">
        <v>19.81</v>
      </c>
      <c r="G84" s="20" t="n">
        <v>135.35</v>
      </c>
      <c r="H84" s="20" t="str">
        <f>TRUNC(G84 * (1 + 29.07 / 100), 2)</f>
      </c>
      <c r="I84" s="20" t="str">
        <f>TRUNC(F84 * h84, 2)</f>
      </c>
      <c r="J84" s="21" t="str">
        <f>i84 / 3372490.28</f>
      </c>
    </row>
    <row customHeight="1" ht="26" r="85">
      <c r="A85" s="17" t="inlineStr">
        <is>
          <t> 06.1.3.2 </t>
        </is>
      </c>
      <c r="B85" s="19" t="inlineStr">
        <is>
          <t> 96252 </t>
        </is>
      </c>
      <c r="C85" s="17" t="inlineStr">
        <is>
          <t>SINAPI</t>
        </is>
      </c>
      <c r="D85" s="17" t="inlineStr">
        <is>
          <t>FABRICAÇÃO DE FÔRMA PARA PILARES CIRCULARES, EM CHAPA DE MADEIRA COMPENSADA RESINADA. AF_06/2017</t>
        </is>
      </c>
      <c r="E85" s="18" t="inlineStr">
        <is>
          <t>m²</t>
        </is>
      </c>
      <c r="F85" s="19" t="n">
        <v>5.51</v>
      </c>
      <c r="G85" s="20" t="n">
        <v>249.67</v>
      </c>
      <c r="H85" s="20" t="str">
        <f>TRUNC(G85 * (1 + 29.07 / 100), 2)</f>
      </c>
      <c r="I85" s="20" t="str">
        <f>TRUNC(F85 * h85, 2)</f>
      </c>
      <c r="J85" s="21" t="str">
        <f>i85 / 3372490.28</f>
      </c>
    </row>
    <row customHeight="1" ht="39" r="86">
      <c r="A86" s="17" t="inlineStr">
        <is>
          <t> 06.1.3.3 </t>
        </is>
      </c>
      <c r="B86" s="19" t="inlineStr">
        <is>
          <t> 92452 </t>
        </is>
      </c>
      <c r="C86" s="17" t="inlineStr">
        <is>
          <t>SINAPI</t>
        </is>
      </c>
      <c r="D86" s="17" t="inlineStr">
        <is>
          <t>MONTAGEM E DESMONTAGEM DE FÔRMA DE VIGA, ESCORAMENTO METÁLICO, PÉ-DIREITO SIMPLES, EM CHAPA DE MADEIRA RESINADA, 2 UTILIZAÇÕES. AF_09/2020</t>
        </is>
      </c>
      <c r="E86" s="18" t="inlineStr">
        <is>
          <t>m²</t>
        </is>
      </c>
      <c r="F86" s="19" t="n">
        <v>17.13</v>
      </c>
      <c r="G86" s="20" t="n">
        <v>173.75</v>
      </c>
      <c r="H86" s="20" t="str">
        <f>TRUNC(G86 * (1 + 29.07 / 100), 2)</f>
      </c>
      <c r="I86" s="20" t="str">
        <f>TRUNC(F86 * h86, 2)</f>
      </c>
      <c r="J86" s="21" t="str">
        <f>i86 / 3372490.28</f>
      </c>
    </row>
    <row customHeight="1" ht="39" r="87">
      <c r="A87" s="17" t="inlineStr">
        <is>
          <t> 06.1.3.4 </t>
        </is>
      </c>
      <c r="B87" s="19" t="inlineStr">
        <is>
          <t> 92510 </t>
        </is>
      </c>
      <c r="C87" s="17" t="inlineStr">
        <is>
          <t>SINAPI</t>
        </is>
      </c>
      <c r="D87" s="17" t="inlineStr">
        <is>
          <t>MONTAGEM E DESMONTAGEM DE FÔRMA DE LAJE MACIÇA, PÉ-DIREITO SIMPLES, EM CHAPA DE MADEIRA COMPENSADA RESINADA, 2 UTILIZAÇÕES. AF_09/2020</t>
        </is>
      </c>
      <c r="E87" s="18" t="inlineStr">
        <is>
          <t>m²</t>
        </is>
      </c>
      <c r="F87" s="19" t="n">
        <v>3.42</v>
      </c>
      <c r="G87" s="20" t="n">
        <v>58.74</v>
      </c>
      <c r="H87" s="20" t="str">
        <f>TRUNC(G87 * (1 + 29.07 / 100), 2)</f>
      </c>
      <c r="I87" s="20" t="str">
        <f>TRUNC(F87 * h87, 2)</f>
      </c>
      <c r="J87" s="21" t="str">
        <f>i87 / 3372490.28</f>
      </c>
    </row>
    <row customHeight="1" ht="39" r="88">
      <c r="A88" s="17" t="inlineStr">
        <is>
          <t> 06.1.3.5 </t>
        </is>
      </c>
      <c r="B88" s="19" t="inlineStr">
        <is>
          <t> 101971 </t>
        </is>
      </c>
      <c r="C88" s="17" t="inlineStr">
        <is>
          <t>SINAPI</t>
        </is>
      </c>
      <c r="D88" s="17" t="inlineStr">
        <is>
          <t>FABRICAÇÃO DE FÔRMA PARA ESCADAS, COM 2 LANCES EM "U" E LAJE PLANA, EM CHAPA DE MADEIRA COMPENSADA RESINADA, E= 17 MM. AF_11/2020</t>
        </is>
      </c>
      <c r="E88" s="18" t="inlineStr">
        <is>
          <t>m²</t>
        </is>
      </c>
      <c r="F88" s="19" t="n">
        <v>18.0</v>
      </c>
      <c r="G88" s="20" t="n">
        <v>147.28</v>
      </c>
      <c r="H88" s="20" t="str">
        <f>TRUNC(G88 * (1 + 29.07 / 100), 2)</f>
      </c>
      <c r="I88" s="20" t="str">
        <f>TRUNC(F88 * h88, 2)</f>
      </c>
      <c r="J88" s="21" t="str">
        <f>i88 / 3372490.28</f>
      </c>
    </row>
    <row customHeight="1" ht="39" r="89">
      <c r="A89" s="17" t="inlineStr">
        <is>
          <t> 06.1.3.6 </t>
        </is>
      </c>
      <c r="B89" s="19" t="inlineStr">
        <is>
          <t> 92759 </t>
        </is>
      </c>
      <c r="C89" s="17" t="inlineStr">
        <is>
          <t>SINAPI</t>
        </is>
      </c>
      <c r="D89" s="17" t="inlineStr">
        <is>
          <t>ARMAÇÃO DE PILAR OU VIGA DE ESTRUTURA CONVENCIONAL DE CONCRETO ARMADO UTILIZANDO AÇO CA-60 DE 5,0 MM - MONTAGEM. AF_06/2022</t>
        </is>
      </c>
      <c r="E89" s="18" t="inlineStr">
        <is>
          <t>KG</t>
        </is>
      </c>
      <c r="F89" s="19" t="n">
        <v>51.0</v>
      </c>
      <c r="G89" s="20" t="n">
        <v>13.76</v>
      </c>
      <c r="H89" s="20" t="str">
        <f>TRUNC(G89 * (1 + 29.07 / 100), 2)</f>
      </c>
      <c r="I89" s="20" t="str">
        <f>TRUNC(F89 * h89, 2)</f>
      </c>
      <c r="J89" s="21" t="str">
        <f>i89 / 3372490.28</f>
      </c>
    </row>
    <row customHeight="1" ht="39" r="90">
      <c r="A90" s="17" t="inlineStr">
        <is>
          <t> 06.1.3.7 </t>
        </is>
      </c>
      <c r="B90" s="19" t="inlineStr">
        <is>
          <t> 92761 </t>
        </is>
      </c>
      <c r="C90" s="17" t="inlineStr">
        <is>
          <t>SINAPI</t>
        </is>
      </c>
      <c r="D90" s="17" t="inlineStr">
        <is>
          <t>ARMAÇÃO DE PILAR OU VIGA DE ESTRUTURA CONVENCIONAL DE CONCRETO ARMADO UTILIZANDO AÇO CA-50 DE 8,0 MM - MONTAGEM. AF_06/2022</t>
        </is>
      </c>
      <c r="E90" s="18" t="inlineStr">
        <is>
          <t>KG</t>
        </is>
      </c>
      <c r="F90" s="19" t="n">
        <v>44.0</v>
      </c>
      <c r="G90" s="20" t="n">
        <v>11.91</v>
      </c>
      <c r="H90" s="20" t="str">
        <f>TRUNC(G90 * (1 + 29.07 / 100), 2)</f>
      </c>
      <c r="I90" s="20" t="str">
        <f>TRUNC(F90 * h90, 2)</f>
      </c>
      <c r="J90" s="21" t="str">
        <f>i90 / 3372490.28</f>
      </c>
    </row>
    <row customHeight="1" ht="39" r="91">
      <c r="A91" s="17" t="inlineStr">
        <is>
          <t> 06.1.3.8 </t>
        </is>
      </c>
      <c r="B91" s="19" t="inlineStr">
        <is>
          <t> 92762 </t>
        </is>
      </c>
      <c r="C91" s="17" t="inlineStr">
        <is>
          <t>SINAPI</t>
        </is>
      </c>
      <c r="D91" s="17" t="inlineStr">
        <is>
          <t>ARMAÇÃO DE PILAR OU VIGA DE ESTRUTURA CONVENCIONAL DE CONCRETO ARMADO UTILIZANDO AÇO CA-50 DE 10,0 MM - MONTAGEM. AF_06/2022</t>
        </is>
      </c>
      <c r="E91" s="18" t="inlineStr">
        <is>
          <t>KG</t>
        </is>
      </c>
      <c r="F91" s="19" t="n">
        <v>133.0</v>
      </c>
      <c r="G91" s="20" t="n">
        <v>10.57</v>
      </c>
      <c r="H91" s="20" t="str">
        <f>TRUNC(G91 * (1 + 29.07 / 100), 2)</f>
      </c>
      <c r="I91" s="20" t="str">
        <f>TRUNC(F91 * h91, 2)</f>
      </c>
      <c r="J91" s="21" t="str">
        <f>i91 / 3372490.28</f>
      </c>
    </row>
    <row customHeight="1" ht="39" r="92">
      <c r="A92" s="17" t="inlineStr">
        <is>
          <t> 06.1.3.9 </t>
        </is>
      </c>
      <c r="B92" s="19" t="inlineStr">
        <is>
          <t> 92764 </t>
        </is>
      </c>
      <c r="C92" s="17" t="inlineStr">
        <is>
          <t>SINAPI</t>
        </is>
      </c>
      <c r="D92" s="17" t="inlineStr">
        <is>
          <t>ARMAÇÃO DE PILAR OU VIGA DE ESTRUTURA CONVENCIONAL DE CONCRETO ARMADO UTILIZANDO AÇO CA-50 DE 16,0 MM - MONTAGEM. AF_06/2022</t>
        </is>
      </c>
      <c r="E92" s="18" t="inlineStr">
        <is>
          <t>KG</t>
        </is>
      </c>
      <c r="F92" s="19" t="n">
        <v>39.0</v>
      </c>
      <c r="G92" s="20" t="n">
        <v>8.54</v>
      </c>
      <c r="H92" s="20" t="str">
        <f>TRUNC(G92 * (1 + 29.07 / 100), 2)</f>
      </c>
      <c r="I92" s="20" t="str">
        <f>TRUNC(F92 * h92, 2)</f>
      </c>
      <c r="J92" s="21" t="str">
        <f>i92 / 3372490.28</f>
      </c>
    </row>
    <row customHeight="1" ht="39" r="93">
      <c r="A93" s="17" t="inlineStr">
        <is>
          <t> 06.1.3.10 </t>
        </is>
      </c>
      <c r="B93" s="19" t="inlineStr">
        <is>
          <t> 92769 </t>
        </is>
      </c>
      <c r="C93" s="17" t="inlineStr">
        <is>
          <t>SINAPI</t>
        </is>
      </c>
      <c r="D93" s="17" t="inlineStr">
        <is>
          <t>ARMAÇÃO DE LAJE DE ESTRUTURA CONVENCIONAL DE CONCRETO ARMADO UTILIZANDO AÇO CA-50 DE 6,3 MM - MONTAGEM. AF_06/2022</t>
        </is>
      </c>
      <c r="E93" s="18" t="inlineStr">
        <is>
          <t>KG</t>
        </is>
      </c>
      <c r="F93" s="19" t="n">
        <v>20.0</v>
      </c>
      <c r="G93" s="20" t="n">
        <v>12.26</v>
      </c>
      <c r="H93" s="20" t="str">
        <f>TRUNC(G93 * (1 + 29.07 / 100), 2)</f>
      </c>
      <c r="I93" s="20" t="str">
        <f>TRUNC(F93 * h93, 2)</f>
      </c>
      <c r="J93" s="21" t="str">
        <f>i93 / 3372490.28</f>
      </c>
    </row>
    <row customHeight="1" ht="39" r="94">
      <c r="A94" s="17" t="inlineStr">
        <is>
          <t> 06.1.3.11 </t>
        </is>
      </c>
      <c r="B94" s="19" t="inlineStr">
        <is>
          <t> 95945 </t>
        </is>
      </c>
      <c r="C94" s="17" t="inlineStr">
        <is>
          <t>SINAPI</t>
        </is>
      </c>
      <c r="D94" s="17" t="inlineStr">
        <is>
          <t>ARMAÇÃO DE ESCADA, DE UMA ESTRUTURA CONVENCIONAL DE CONCRETO ARMADO UTILIZANDO AÇO CA-50 DE 8,0 MM - MONTAGEM. AF_11/2020</t>
        </is>
      </c>
      <c r="E94" s="18" t="inlineStr">
        <is>
          <t>KG</t>
        </is>
      </c>
      <c r="F94" s="19" t="n">
        <v>104.0</v>
      </c>
      <c r="G94" s="20" t="n">
        <v>15.71</v>
      </c>
      <c r="H94" s="20" t="str">
        <f>TRUNC(G94 * (1 + 29.07 / 100), 2)</f>
      </c>
      <c r="I94" s="20" t="str">
        <f>TRUNC(F94 * h94, 2)</f>
      </c>
      <c r="J94" s="21" t="str">
        <f>i94 / 3372490.28</f>
      </c>
    </row>
    <row customHeight="1" ht="39" r="95">
      <c r="A95" s="17" t="inlineStr">
        <is>
          <t> 06.1.3.12 </t>
        </is>
      </c>
      <c r="B95" s="19" t="inlineStr">
        <is>
          <t> 95946 </t>
        </is>
      </c>
      <c r="C95" s="17" t="inlineStr">
        <is>
          <t>SINAPI</t>
        </is>
      </c>
      <c r="D95" s="17" t="inlineStr">
        <is>
          <t>ARMAÇÃO DE ESCADA, DE UMA ESTRUTURA CONVENCIONAL DE CONCRETO ARMADO UTILIZANDO AÇO CA-50 DE 10,0 MM - MONTAGEM. AF_11/2020</t>
        </is>
      </c>
      <c r="E95" s="18" t="inlineStr">
        <is>
          <t>KG</t>
        </is>
      </c>
      <c r="F95" s="19" t="n">
        <v>154.0</v>
      </c>
      <c r="G95" s="20" t="n">
        <v>12.32</v>
      </c>
      <c r="H95" s="20" t="str">
        <f>TRUNC(G95 * (1 + 29.07 / 100), 2)</f>
      </c>
      <c r="I95" s="20" t="str">
        <f>TRUNC(F95 * h95, 2)</f>
      </c>
      <c r="J95" s="21" t="str">
        <f>i95 / 3372490.28</f>
      </c>
    </row>
    <row customHeight="1" ht="39" r="96">
      <c r="A96" s="17" t="inlineStr">
        <is>
          <t> 06.1.3.13 </t>
        </is>
      </c>
      <c r="B96" s="19" t="inlineStr">
        <is>
          <t> 103672 </t>
        </is>
      </c>
      <c r="C96" s="17" t="inlineStr">
        <is>
          <t>SINAPI</t>
        </is>
      </c>
      <c r="D96" s="17" t="inlineStr">
        <is>
          <t>CONCRETAGEM DE PILARES, FCK = 25 MPA, COM USO DE BOMBA - LANÇAMENTO, ADENSAMENTO E ACABAMENTO. AF_02/2022_PS</t>
        </is>
      </c>
      <c r="E96" s="18" t="inlineStr">
        <is>
          <t>m³</t>
        </is>
      </c>
      <c r="F96" s="19" t="n">
        <v>1.39</v>
      </c>
      <c r="G96" s="20" t="n">
        <v>643.59</v>
      </c>
      <c r="H96" s="20" t="str">
        <f>TRUNC(G96 * (1 + 29.07 / 100), 2)</f>
      </c>
      <c r="I96" s="20" t="str">
        <f>TRUNC(F96 * h96, 2)</f>
      </c>
      <c r="J96" s="21" t="str">
        <f>i96 / 3372490.28</f>
      </c>
    </row>
    <row customHeight="1" ht="39" r="97">
      <c r="A97" s="17" t="inlineStr">
        <is>
          <t> 06.1.3.14 </t>
        </is>
      </c>
      <c r="B97" s="19" t="inlineStr">
        <is>
          <t> 103675 </t>
        </is>
      </c>
      <c r="C97" s="17" t="inlineStr">
        <is>
          <t>SINAPI</t>
        </is>
      </c>
      <c r="D97" s="17" t="inlineStr">
        <is>
          <t>CONCRETAGEM DE VIGAS E LAJES, FCK=25 MPA, PARA LAJES MACIÇAS OU NERVURADAS COM USO DE BOMBA - LANÇAMENTO, ADENSAMENTO E ACABAMENTO. AF_02/2022_PS</t>
        </is>
      </c>
      <c r="E97" s="18" t="inlineStr">
        <is>
          <t>m³</t>
        </is>
      </c>
      <c r="F97" s="19" t="n">
        <v>2.0</v>
      </c>
      <c r="G97" s="20" t="n">
        <v>645.14</v>
      </c>
      <c r="H97" s="20" t="str">
        <f>TRUNC(G97 * (1 + 29.07 / 100), 2)</f>
      </c>
      <c r="I97" s="20" t="str">
        <f>TRUNC(F97 * h97, 2)</f>
      </c>
      <c r="J97" s="21" t="str">
        <f>i97 / 3372490.28</f>
      </c>
    </row>
    <row customHeight="1" ht="39" r="98">
      <c r="A98" s="17" t="inlineStr">
        <is>
          <t> 06.1.3.15 </t>
        </is>
      </c>
      <c r="B98" s="19" t="inlineStr">
        <is>
          <t> 103686 </t>
        </is>
      </c>
      <c r="C98" s="17" t="inlineStr">
        <is>
          <t>SINAPI</t>
        </is>
      </c>
      <c r="D98" s="17" t="inlineStr">
        <is>
          <t>CONCRETAGEM DE ESCADAS, FCK=25 MPA, COM USO DE BOMBA - LANÇAMENTO, ADENSAMENTO E ACABAMENTO. AF_02/2022_PS</t>
        </is>
      </c>
      <c r="E98" s="18" t="inlineStr">
        <is>
          <t>m³</t>
        </is>
      </c>
      <c r="F98" s="19" t="n">
        <v>3.32</v>
      </c>
      <c r="G98" s="20" t="n">
        <v>713.66</v>
      </c>
      <c r="H98" s="20" t="str">
        <f>TRUNC(G98 * (1 + 29.07 / 100), 2)</f>
      </c>
      <c r="I98" s="20" t="str">
        <f>TRUNC(F98 * h98, 2)</f>
      </c>
      <c r="J98" s="21" t="str">
        <f>i98 / 3372490.28</f>
      </c>
    </row>
    <row customHeight="1" ht="39" r="99">
      <c r="A99" s="17" t="inlineStr">
        <is>
          <t> 06.1.3.16 </t>
        </is>
      </c>
      <c r="B99" s="19" t="inlineStr">
        <is>
          <t> RC0165 </t>
        </is>
      </c>
      <c r="C99" s="17" t="inlineStr">
        <is>
          <t>Próprio</t>
        </is>
      </c>
      <c r="D99" s="17" t="inlineStr">
        <is>
          <t>CONTROLE TECNOLÓGICO DE CONCRETO - POR ROMPIMENTO DE CORPO DE PROVA - INCLUINDO EMISSÃO DE CERTIFICADOS</t>
        </is>
      </c>
      <c r="E99" s="18" t="inlineStr">
        <is>
          <t>UND</t>
        </is>
      </c>
      <c r="F99" s="19" t="n">
        <v>8.0</v>
      </c>
      <c r="G99" s="20" t="n">
        <v>16.75</v>
      </c>
      <c r="H99" s="20" t="str">
        <f>TRUNC(G99 * (1 + 29.07 / 100), 2)</f>
      </c>
      <c r="I99" s="20" t="str">
        <f>TRUNC(F99 * h99, 2)</f>
      </c>
      <c r="J99" s="21" t="str">
        <f>i99 / 3372490.28</f>
      </c>
    </row>
    <row customHeight="1" ht="24" r="100">
      <c r="A100" s="9" t="inlineStr">
        <is>
          <t> 06.2 </t>
        </is>
      </c>
      <c r="B100" s="9"/>
      <c r="C100" s="9"/>
      <c r="D100" s="9" t="inlineStr">
        <is>
          <t>FUNDAÇÃO DA ALVENARIA DE BLOCO</t>
        </is>
      </c>
      <c r="E100" s="9"/>
      <c r="F100" s="11"/>
      <c r="G100" s="9"/>
      <c r="H100" s="9"/>
      <c r="I100" s="12" t="n">
        <v>74283.46</v>
      </c>
      <c r="J100" s="13" t="str">
        <f>i100 / 3372490.28</f>
      </c>
    </row>
    <row customHeight="1" ht="39" r="101">
      <c r="A101" s="17" t="inlineStr">
        <is>
          <t> 06.2.1 </t>
        </is>
      </c>
      <c r="B101" s="19" t="inlineStr">
        <is>
          <t> 96527 </t>
        </is>
      </c>
      <c r="C101" s="17" t="inlineStr">
        <is>
          <t>SINAPI</t>
        </is>
      </c>
      <c r="D101" s="17" t="inlineStr">
        <is>
          <t>ESCAVAÇÃO MANUAL PARA VIGA BALDRAME OU SAPATA CORRIDA (INCLUINDO ESCAVAÇÃO PARA COLOCAÇÃO DE FÔRMAS). AF_01/2024</t>
        </is>
      </c>
      <c r="E101" s="18" t="inlineStr">
        <is>
          <t>m³</t>
        </is>
      </c>
      <c r="F101" s="19" t="n">
        <v>54.47</v>
      </c>
      <c r="G101" s="20" t="n">
        <v>103.62</v>
      </c>
      <c r="H101" s="20" t="str">
        <f>TRUNC(G101 * (1 + 29.07 / 100), 2)</f>
      </c>
      <c r="I101" s="20" t="str">
        <f>TRUNC(F101 * h101, 2)</f>
      </c>
      <c r="J101" s="21" t="str">
        <f>i101 / 3372490.28</f>
      </c>
    </row>
    <row customHeight="1" ht="24" r="102">
      <c r="A102" s="17" t="inlineStr">
        <is>
          <t> 06.2.2 </t>
        </is>
      </c>
      <c r="B102" s="19" t="inlineStr">
        <is>
          <t> RC0052 </t>
        </is>
      </c>
      <c r="C102" s="17" t="inlineStr">
        <is>
          <t>Próprio</t>
        </is>
      </c>
      <c r="D102" s="17" t="inlineStr">
        <is>
          <t>REGULARIZAÇÃO MANUAL</t>
        </is>
      </c>
      <c r="E102" s="18" t="inlineStr">
        <is>
          <t>m²</t>
        </is>
      </c>
      <c r="F102" s="19" t="n">
        <v>121.04</v>
      </c>
      <c r="G102" s="20" t="n">
        <v>6.36</v>
      </c>
      <c r="H102" s="20" t="str">
        <f>TRUNC(G102 * (1 + 29.07 / 100), 2)</f>
      </c>
      <c r="I102" s="20" t="str">
        <f>TRUNC(F102 * h102, 2)</f>
      </c>
      <c r="J102" s="21" t="str">
        <f>i102 / 3372490.28</f>
      </c>
    </row>
    <row customHeight="1" ht="26" r="103">
      <c r="A103" s="17" t="inlineStr">
        <is>
          <t> 06.2.3 </t>
        </is>
      </c>
      <c r="B103" s="19" t="inlineStr">
        <is>
          <t> 96616 </t>
        </is>
      </c>
      <c r="C103" s="17" t="inlineStr">
        <is>
          <t>SINAPI</t>
        </is>
      </c>
      <c r="D103" s="17" t="inlineStr">
        <is>
          <t>LASTRO DE CONCRETO MAGRO, APLICADO EM BLOCOS DE COROAMENTO OU SAPATAS. AF_01/2024</t>
        </is>
      </c>
      <c r="E103" s="18" t="inlineStr">
        <is>
          <t>m³</t>
        </is>
      </c>
      <c r="F103" s="19" t="n">
        <v>3.92</v>
      </c>
      <c r="G103" s="20" t="n">
        <v>830.44</v>
      </c>
      <c r="H103" s="20" t="str">
        <f>TRUNC(G103 * (1 + 29.07 / 100), 2)</f>
      </c>
      <c r="I103" s="20" t="str">
        <f>TRUNC(F103 * h103, 2)</f>
      </c>
      <c r="J103" s="21" t="str">
        <f>i103 / 3372490.28</f>
      </c>
    </row>
    <row customHeight="1" ht="39" r="104">
      <c r="A104" s="17" t="inlineStr">
        <is>
          <t> 06.2.4 </t>
        </is>
      </c>
      <c r="B104" s="19" t="inlineStr">
        <is>
          <t> 104926 </t>
        </is>
      </c>
      <c r="C104" s="17" t="inlineStr">
        <is>
          <t>SINAPI</t>
        </is>
      </c>
      <c r="D104" s="17" t="inlineStr">
        <is>
          <t>FABRICAÇÃO, MONTAGEM E DESMONTAGEM DE FÔRMA PARA SAPATA CORRIDA, EM MADEIRA SERRADA, E=25 MM, 2 UTILIZAÇÕES. AF_01/2024</t>
        </is>
      </c>
      <c r="E104" s="18" t="inlineStr">
        <is>
          <t>m²</t>
        </is>
      </c>
      <c r="F104" s="19" t="n">
        <v>113.92</v>
      </c>
      <c r="G104" s="20" t="n">
        <v>112.15</v>
      </c>
      <c r="H104" s="20" t="str">
        <f>TRUNC(G104 * (1 + 29.07 / 100), 2)</f>
      </c>
      <c r="I104" s="20" t="str">
        <f>TRUNC(F104 * h104, 2)</f>
      </c>
      <c r="J104" s="21" t="str">
        <f>i104 / 3372490.28</f>
      </c>
    </row>
    <row customHeight="1" ht="39" r="105">
      <c r="A105" s="17" t="inlineStr">
        <is>
          <t> 06.2.5 </t>
        </is>
      </c>
      <c r="B105" s="19" t="inlineStr">
        <is>
          <t> 104916 </t>
        </is>
      </c>
      <c r="C105" s="17" t="inlineStr">
        <is>
          <t>SINAPI</t>
        </is>
      </c>
      <c r="D105" s="17" t="inlineStr">
        <is>
          <t>ARMAÇÃO DE SAPATA ISOLADA, VIGA BALDRAME E SAPATA CORRIDA UTILIZANDO AÇO CA-60 DE 5 MM - MONTAGEM. AF_01/2024</t>
        </is>
      </c>
      <c r="E105" s="18" t="inlineStr">
        <is>
          <t>KG</t>
        </is>
      </c>
      <c r="F105" s="19" t="n">
        <v>110.0</v>
      </c>
      <c r="G105" s="20" t="n">
        <v>16.4</v>
      </c>
      <c r="H105" s="20" t="str">
        <f>TRUNC(G105 * (1 + 29.07 / 100), 2)</f>
      </c>
      <c r="I105" s="20" t="str">
        <f>TRUNC(F105 * h105, 2)</f>
      </c>
      <c r="J105" s="21" t="str">
        <f>i105 / 3372490.28</f>
      </c>
    </row>
    <row customHeight="1" ht="39" r="106">
      <c r="A106" s="17" t="inlineStr">
        <is>
          <t> 06.2.6 </t>
        </is>
      </c>
      <c r="B106" s="19" t="inlineStr">
        <is>
          <t> 104918 </t>
        </is>
      </c>
      <c r="C106" s="17" t="inlineStr">
        <is>
          <t>SINAPI</t>
        </is>
      </c>
      <c r="D106" s="17" t="inlineStr">
        <is>
          <t>ARMAÇÃO DE SAPATA ISOLADA, VIGA BALDRAME E SAPATA CORRIDA UTILIZANDO AÇO CA-50 DE 8 MM - MONTAGEM. AF_01/2024</t>
        </is>
      </c>
      <c r="E106" s="18" t="inlineStr">
        <is>
          <t>KG</t>
        </is>
      </c>
      <c r="F106" s="19" t="n">
        <v>530.0</v>
      </c>
      <c r="G106" s="20" t="n">
        <v>13.83</v>
      </c>
      <c r="H106" s="20" t="str">
        <f>TRUNC(G106 * (1 + 29.07 / 100), 2)</f>
      </c>
      <c r="I106" s="20" t="str">
        <f>TRUNC(F106 * h106, 2)</f>
      </c>
      <c r="J106" s="21" t="str">
        <f>i106 / 3372490.28</f>
      </c>
    </row>
    <row customHeight="1" ht="39" r="107">
      <c r="A107" s="17" t="inlineStr">
        <is>
          <t> 06.2.7 </t>
        </is>
      </c>
      <c r="B107" s="19" t="inlineStr">
        <is>
          <t> 104924 </t>
        </is>
      </c>
      <c r="C107" s="17" t="inlineStr">
        <is>
          <t>SINAPI</t>
        </is>
      </c>
      <c r="D107" s="17" t="inlineStr">
        <is>
          <t>CONCRETAGEM DE SAPATA CORRIDA, FCK 30 MPA, COM USO DE BOMBA - LANÇAMENTO, ADENSAMENTO E ACABAMENTO. AF_01/2024</t>
        </is>
      </c>
      <c r="E107" s="18" t="inlineStr">
        <is>
          <t>m³</t>
        </is>
      </c>
      <c r="F107" s="19" t="n">
        <v>17.09</v>
      </c>
      <c r="G107" s="20" t="n">
        <v>735.8</v>
      </c>
      <c r="H107" s="20" t="str">
        <f>TRUNC(G107 * (1 + 29.07 / 100), 2)</f>
      </c>
      <c r="I107" s="20" t="str">
        <f>TRUNC(F107 * h107, 2)</f>
      </c>
      <c r="J107" s="21" t="str">
        <f>i107 / 3372490.28</f>
      </c>
    </row>
    <row customHeight="1" ht="39" r="108">
      <c r="A108" s="17" t="inlineStr">
        <is>
          <t> 06.2.8 </t>
        </is>
      </c>
      <c r="B108" s="19" t="inlineStr">
        <is>
          <t> RC0165 </t>
        </is>
      </c>
      <c r="C108" s="17" t="inlineStr">
        <is>
          <t>Próprio</t>
        </is>
      </c>
      <c r="D108" s="17" t="inlineStr">
        <is>
          <t>CONTROLE TECNOLÓGICO DE CONCRETO - POR ROMPIMENTO DE CORPO DE PROVA - INCLUINDO EMISSÃO DE CERTIFICADOS</t>
        </is>
      </c>
      <c r="E108" s="18" t="inlineStr">
        <is>
          <t>UND</t>
        </is>
      </c>
      <c r="F108" s="19" t="n">
        <v>8.0</v>
      </c>
      <c r="G108" s="20" t="n">
        <v>16.75</v>
      </c>
      <c r="H108" s="20" t="str">
        <f>TRUNC(G108 * (1 + 29.07 / 100), 2)</f>
      </c>
      <c r="I108" s="20" t="str">
        <f>TRUNC(F108 * h108, 2)</f>
      </c>
      <c r="J108" s="21" t="str">
        <f>i108 / 3372490.28</f>
      </c>
    </row>
    <row customHeight="1" ht="26" r="109">
      <c r="A109" s="17" t="inlineStr">
        <is>
          <t> 06.2.9 </t>
        </is>
      </c>
      <c r="B109" s="19" t="inlineStr">
        <is>
          <t> 98557 </t>
        </is>
      </c>
      <c r="C109" s="17" t="inlineStr">
        <is>
          <t>SINAPI</t>
        </is>
      </c>
      <c r="D109" s="17" t="inlineStr">
        <is>
          <t>IMPERMEABILIZAÇÃO DE SUPERFÍCIE COM EMULSÃO ASFÁLTICA, 2 DEMÃOS. AF_09/2023</t>
        </is>
      </c>
      <c r="E109" s="18" t="inlineStr">
        <is>
          <t>m²</t>
        </is>
      </c>
      <c r="F109" s="19" t="n">
        <v>178.0</v>
      </c>
      <c r="G109" s="20" t="n">
        <v>46.28</v>
      </c>
      <c r="H109" s="20" t="str">
        <f>TRUNC(G109 * (1 + 29.07 / 100), 2)</f>
      </c>
      <c r="I109" s="20" t="str">
        <f>TRUNC(F109 * h109, 2)</f>
      </c>
      <c r="J109" s="21" t="str">
        <f>i109 / 3372490.28</f>
      </c>
    </row>
    <row customHeight="1" ht="24" r="110">
      <c r="A110" s="17" t="inlineStr">
        <is>
          <t> 06.2.10 </t>
        </is>
      </c>
      <c r="B110" s="19" t="inlineStr">
        <is>
          <t> 96995 </t>
        </is>
      </c>
      <c r="C110" s="17" t="inlineStr">
        <is>
          <t>SINAPI</t>
        </is>
      </c>
      <c r="D110" s="17" t="inlineStr">
        <is>
          <t>REATERRO MANUAL APILOADO COM SOQUETE. AF_10/2017</t>
        </is>
      </c>
      <c r="E110" s="18" t="inlineStr">
        <is>
          <t>m³</t>
        </is>
      </c>
      <c r="F110" s="19" t="n">
        <v>33.46</v>
      </c>
      <c r="G110" s="20" t="n">
        <v>50.85</v>
      </c>
      <c r="H110" s="20" t="str">
        <f>TRUNC(G110 * (1 + 29.07 / 100), 2)</f>
      </c>
      <c r="I110" s="20" t="str">
        <f>TRUNC(F110 * h110, 2)</f>
      </c>
      <c r="J110" s="21" t="str">
        <f>i110 / 3372490.28</f>
      </c>
    </row>
    <row customHeight="1" ht="52" r="111">
      <c r="A111" s="17" t="inlineStr">
        <is>
          <t> 06.2.11 </t>
        </is>
      </c>
      <c r="B111" s="19" t="inlineStr">
        <is>
          <t> 100974 </t>
        </is>
      </c>
      <c r="C111" s="17" t="inlineStr">
        <is>
          <t>SINAPI</t>
        </is>
      </c>
      <c r="D111" s="17" t="inlineStr">
        <is>
          <t>CARGA, MANOBRA E DESCARGA DE SOLOS E MATERIAIS GRANULARES EM CAMINHÃO BASCULANTE 10 M³ - CARGA COM PÁ CARREGADEIRA (CAÇAMBA DE 1,7 A 2,8 M³ / 128 HP) E DESCARGA LIVRE (UNIDADE: M3). AF_07/2020</t>
        </is>
      </c>
      <c r="E111" s="18" t="inlineStr">
        <is>
          <t>m³</t>
        </is>
      </c>
      <c r="F111" s="19" t="n">
        <v>41.83</v>
      </c>
      <c r="G111" s="20" t="n">
        <v>8.67</v>
      </c>
      <c r="H111" s="20" t="str">
        <f>TRUNC(G111 * (1 + 29.07 / 100), 2)</f>
      </c>
      <c r="I111" s="20" t="str">
        <f>TRUNC(F111 * h111, 2)</f>
      </c>
      <c r="J111" s="21" t="str">
        <f>i111 / 3372490.28</f>
      </c>
    </row>
    <row customHeight="1" ht="39" r="112">
      <c r="A112" s="17" t="inlineStr">
        <is>
          <t> 06.2.12 </t>
        </is>
      </c>
      <c r="B112" s="19" t="inlineStr">
        <is>
          <t> 95875 </t>
        </is>
      </c>
      <c r="C112" s="17" t="inlineStr">
        <is>
          <t>SINAPI</t>
        </is>
      </c>
      <c r="D112" s="17" t="inlineStr">
        <is>
          <t>TRANSPORTE COM CAMINHÃO BASCULANTE DE 10 M³, EM VIA URBANA PAVIMENTADA, DMT ATÉ 30 KM (UNIDADE: M3XKM). AF_07/2020</t>
        </is>
      </c>
      <c r="E112" s="18" t="inlineStr">
        <is>
          <t>M3XKM</t>
        </is>
      </c>
      <c r="F112" s="19" t="n">
        <v>1254.9</v>
      </c>
      <c r="G112" s="20" t="n">
        <v>2.37</v>
      </c>
      <c r="H112" s="20" t="str">
        <f>TRUNC(G112 * (1 + 29.07 / 100), 2)</f>
      </c>
      <c r="I112" s="20" t="str">
        <f>TRUNC(F112 * h112, 2)</f>
      </c>
      <c r="J112" s="21" t="str">
        <f>i112 / 3372490.28</f>
      </c>
    </row>
    <row customHeight="1" ht="24" r="113">
      <c r="A113" s="9" t="inlineStr">
        <is>
          <t> 06.3 </t>
        </is>
      </c>
      <c r="B113" s="9"/>
      <c r="C113" s="9"/>
      <c r="D113" s="9" t="inlineStr">
        <is>
          <t>RAMPA</t>
        </is>
      </c>
      <c r="E113" s="9"/>
      <c r="F113" s="11"/>
      <c r="G113" s="9"/>
      <c r="H113" s="9"/>
      <c r="I113" s="12" t="n">
        <v>23454.19</v>
      </c>
      <c r="J113" s="13" t="str">
        <f>i113 / 3372490.28</f>
      </c>
    </row>
    <row customHeight="1" ht="39" r="114">
      <c r="A114" s="17" t="inlineStr">
        <is>
          <t> 06.3.1 </t>
        </is>
      </c>
      <c r="B114" s="19" t="inlineStr">
        <is>
          <t> 96521 </t>
        </is>
      </c>
      <c r="C114" s="17" t="inlineStr">
        <is>
          <t>SINAPI</t>
        </is>
      </c>
      <c r="D114" s="17" t="inlineStr">
        <is>
          <t>ESCAVAÇÃO MECANIZADA PARA BLOCO DE COROAMENTO OU SAPATA COM RETROESCAVADEIRA (INCLUINDO ESCAVAÇÃO PARA COLOCAÇÃO DE FÔRMAS). AF_01/2024</t>
        </is>
      </c>
      <c r="E114" s="18" t="inlineStr">
        <is>
          <t>m³</t>
        </is>
      </c>
      <c r="F114" s="19" t="n">
        <v>13.61</v>
      </c>
      <c r="G114" s="20" t="n">
        <v>43.5</v>
      </c>
      <c r="H114" s="20" t="str">
        <f>TRUNC(G114 * (1 + 29.07 / 100), 2)</f>
      </c>
      <c r="I114" s="20" t="str">
        <f>TRUNC(F114 * h114, 2)</f>
      </c>
      <c r="J114" s="21" t="str">
        <f>i114 / 3372490.28</f>
      </c>
    </row>
    <row customHeight="1" ht="24" r="115">
      <c r="A115" s="17" t="inlineStr">
        <is>
          <t> 06.3.2 </t>
        </is>
      </c>
      <c r="B115" s="19" t="inlineStr">
        <is>
          <t> RC0052 </t>
        </is>
      </c>
      <c r="C115" s="17" t="inlineStr">
        <is>
          <t>Próprio</t>
        </is>
      </c>
      <c r="D115" s="17" t="inlineStr">
        <is>
          <t>REGULARIZAÇÃO MANUAL</t>
        </is>
      </c>
      <c r="E115" s="18" t="inlineStr">
        <is>
          <t>m²</t>
        </is>
      </c>
      <c r="F115" s="19" t="n">
        <v>30.24</v>
      </c>
      <c r="G115" s="20" t="n">
        <v>6.36</v>
      </c>
      <c r="H115" s="20" t="str">
        <f>TRUNC(G115 * (1 + 29.07 / 100), 2)</f>
      </c>
      <c r="I115" s="20" t="str">
        <f>TRUNC(F115 * h115, 2)</f>
      </c>
      <c r="J115" s="21" t="str">
        <f>i115 / 3372490.28</f>
      </c>
    </row>
    <row customHeight="1" ht="26" r="116">
      <c r="A116" s="17" t="inlineStr">
        <is>
          <t> 06.3.3 </t>
        </is>
      </c>
      <c r="B116" s="19" t="inlineStr">
        <is>
          <t> 96616 </t>
        </is>
      </c>
      <c r="C116" s="17" t="inlineStr">
        <is>
          <t>SINAPI</t>
        </is>
      </c>
      <c r="D116" s="17" t="inlineStr">
        <is>
          <t>LASTRO DE CONCRETO MAGRO, APLICADO EM BLOCOS DE COROAMENTO OU SAPATAS. AF_01/2024</t>
        </is>
      </c>
      <c r="E116" s="18" t="inlineStr">
        <is>
          <t>m³</t>
        </is>
      </c>
      <c r="F116" s="19" t="n">
        <v>0.95</v>
      </c>
      <c r="G116" s="20" t="n">
        <v>830.44</v>
      </c>
      <c r="H116" s="20" t="str">
        <f>TRUNC(G116 * (1 + 29.07 / 100), 2)</f>
      </c>
      <c r="I116" s="20" t="str">
        <f>TRUNC(F116 * h116, 2)</f>
      </c>
      <c r="J116" s="21" t="str">
        <f>i116 / 3372490.28</f>
      </c>
    </row>
    <row customHeight="1" ht="39" r="117">
      <c r="A117" s="17" t="inlineStr">
        <is>
          <t> 06.3.4 </t>
        </is>
      </c>
      <c r="B117" s="19" t="inlineStr">
        <is>
          <t> 104926 </t>
        </is>
      </c>
      <c r="C117" s="17" t="inlineStr">
        <is>
          <t>SINAPI</t>
        </is>
      </c>
      <c r="D117" s="17" t="inlineStr">
        <is>
          <t>FABRICAÇÃO, MONTAGEM E DESMONTAGEM DE FÔRMA PARA SAPATA CORRIDA, EM MADEIRA SERRADA, E=25 MM, 2 UTILIZAÇÕES. AF_01/2024</t>
        </is>
      </c>
      <c r="E117" s="18" t="inlineStr">
        <is>
          <t>m²</t>
        </is>
      </c>
      <c r="F117" s="19" t="n">
        <v>30.24</v>
      </c>
      <c r="G117" s="20" t="n">
        <v>112.15</v>
      </c>
      <c r="H117" s="20" t="str">
        <f>TRUNC(G117 * (1 + 29.07 / 100), 2)</f>
      </c>
      <c r="I117" s="20" t="str">
        <f>TRUNC(F117 * h117, 2)</f>
      </c>
      <c r="J117" s="21" t="str">
        <f>i117 / 3372490.28</f>
      </c>
    </row>
    <row customHeight="1" ht="39" r="118">
      <c r="A118" s="17" t="inlineStr">
        <is>
          <t> 06.3.5 </t>
        </is>
      </c>
      <c r="B118" s="19" t="inlineStr">
        <is>
          <t> 104916 </t>
        </is>
      </c>
      <c r="C118" s="17" t="inlineStr">
        <is>
          <t>SINAPI</t>
        </is>
      </c>
      <c r="D118" s="17" t="inlineStr">
        <is>
          <t>ARMAÇÃO DE SAPATA ISOLADA, VIGA BALDRAME E SAPATA CORRIDA UTILIZANDO AÇO CA-60 DE 5 MM - MONTAGEM. AF_01/2024</t>
        </is>
      </c>
      <c r="E118" s="18" t="inlineStr">
        <is>
          <t>KG</t>
        </is>
      </c>
      <c r="F118" s="19" t="n">
        <v>28.0</v>
      </c>
      <c r="G118" s="20" t="n">
        <v>16.4</v>
      </c>
      <c r="H118" s="20" t="str">
        <f>TRUNC(G118 * (1 + 29.07 / 100), 2)</f>
      </c>
      <c r="I118" s="20" t="str">
        <f>TRUNC(F118 * h118, 2)</f>
      </c>
      <c r="J118" s="21" t="str">
        <f>i118 / 3372490.28</f>
      </c>
    </row>
    <row customHeight="1" ht="39" r="119">
      <c r="A119" s="17" t="inlineStr">
        <is>
          <t> 06.3.6 </t>
        </is>
      </c>
      <c r="B119" s="19" t="inlineStr">
        <is>
          <t> 104918 </t>
        </is>
      </c>
      <c r="C119" s="17" t="inlineStr">
        <is>
          <t>SINAPI</t>
        </is>
      </c>
      <c r="D119" s="17" t="inlineStr">
        <is>
          <t>ARMAÇÃO DE SAPATA ISOLADA, VIGA BALDRAME E SAPATA CORRIDA UTILIZANDO AÇO CA-50 DE 8 MM - MONTAGEM. AF_01/2024</t>
        </is>
      </c>
      <c r="E119" s="18" t="inlineStr">
        <is>
          <t>KG</t>
        </is>
      </c>
      <c r="F119" s="19" t="n">
        <v>132.0</v>
      </c>
      <c r="G119" s="20" t="n">
        <v>13.83</v>
      </c>
      <c r="H119" s="20" t="str">
        <f>TRUNC(G119 * (1 + 29.07 / 100), 2)</f>
      </c>
      <c r="I119" s="20" t="str">
        <f>TRUNC(F119 * h119, 2)</f>
      </c>
      <c r="J119" s="21" t="str">
        <f>i119 / 3372490.28</f>
      </c>
    </row>
    <row customHeight="1" ht="39" r="120">
      <c r="A120" s="17" t="inlineStr">
        <is>
          <t> 06.3.7 </t>
        </is>
      </c>
      <c r="B120" s="19" t="inlineStr">
        <is>
          <t> 104924 </t>
        </is>
      </c>
      <c r="C120" s="17" t="inlineStr">
        <is>
          <t>SINAPI</t>
        </is>
      </c>
      <c r="D120" s="17" t="inlineStr">
        <is>
          <t>CONCRETAGEM DE SAPATA CORRIDA, FCK 30 MPA, COM USO DE BOMBA - LANÇAMENTO, ADENSAMENTO E ACABAMENTO. AF_01/2024</t>
        </is>
      </c>
      <c r="E120" s="18" t="inlineStr">
        <is>
          <t>m³</t>
        </is>
      </c>
      <c r="F120" s="19" t="n">
        <v>3.93</v>
      </c>
      <c r="G120" s="20" t="n">
        <v>735.8</v>
      </c>
      <c r="H120" s="20" t="str">
        <f>TRUNC(G120 * (1 + 29.07 / 100), 2)</f>
      </c>
      <c r="I120" s="20" t="str">
        <f>TRUNC(F120 * h120, 2)</f>
      </c>
      <c r="J120" s="21" t="str">
        <f>i120 / 3372490.28</f>
      </c>
    </row>
    <row customHeight="1" ht="39" r="121">
      <c r="A121" s="17" t="inlineStr">
        <is>
          <t> 06.3.8 </t>
        </is>
      </c>
      <c r="B121" s="19" t="inlineStr">
        <is>
          <t> RC0165 </t>
        </is>
      </c>
      <c r="C121" s="17" t="inlineStr">
        <is>
          <t>Próprio</t>
        </is>
      </c>
      <c r="D121" s="17" t="inlineStr">
        <is>
          <t>CONTROLE TECNOLÓGICO DE CONCRETO - POR ROMPIMENTO DE CORPO DE PROVA - INCLUINDO EMISSÃO DE CERTIFICADOS</t>
        </is>
      </c>
      <c r="E121" s="18" t="inlineStr">
        <is>
          <t>UND</t>
        </is>
      </c>
      <c r="F121" s="19" t="n">
        <v>4.0</v>
      </c>
      <c r="G121" s="20" t="n">
        <v>16.75</v>
      </c>
      <c r="H121" s="20" t="str">
        <f>TRUNC(G121 * (1 + 29.07 / 100), 2)</f>
      </c>
      <c r="I121" s="20" t="str">
        <f>TRUNC(F121 * h121, 2)</f>
      </c>
      <c r="J121" s="21" t="str">
        <f>i121 / 3372490.28</f>
      </c>
    </row>
    <row customHeight="1" ht="26" r="122">
      <c r="A122" s="17" t="inlineStr">
        <is>
          <t> 06.3.9 </t>
        </is>
      </c>
      <c r="B122" s="19" t="inlineStr">
        <is>
          <t> 98557 </t>
        </is>
      </c>
      <c r="C122" s="17" t="inlineStr">
        <is>
          <t>SINAPI</t>
        </is>
      </c>
      <c r="D122" s="17" t="inlineStr">
        <is>
          <t>IMPERMEABILIZAÇÃO DE SUPERFÍCIE COM EMULSÃO ASFÁLTICA, 2 DEMÃOS. AF_09/2023</t>
        </is>
      </c>
      <c r="E122" s="18" t="inlineStr">
        <is>
          <t>m²</t>
        </is>
      </c>
      <c r="F122" s="19" t="n">
        <v>45.36</v>
      </c>
      <c r="G122" s="20" t="n">
        <v>46.28</v>
      </c>
      <c r="H122" s="20" t="str">
        <f>TRUNC(G122 * (1 + 29.07 / 100), 2)</f>
      </c>
      <c r="I122" s="20" t="str">
        <f>TRUNC(F122 * h122, 2)</f>
      </c>
      <c r="J122" s="21" t="str">
        <f>i122 / 3372490.28</f>
      </c>
    </row>
    <row customHeight="1" ht="65" r="123">
      <c r="A123" s="17" t="inlineStr">
        <is>
          <t> 06.3.10 </t>
        </is>
      </c>
      <c r="B123" s="19" t="inlineStr">
        <is>
          <t> 93379 </t>
        </is>
      </c>
      <c r="C123" s="17" t="inlineStr">
        <is>
          <t>SINAPI</t>
        </is>
      </c>
      <c r="D123" s="17" t="inlineStr">
        <is>
          <t>REATERRO MECANIZADO DE VALA COM RETROESCAVADEIRA (CAPACIDADE DA CAÇAMBA   DA RETRO: 0,26 M³/POTÊNCIA: 88 HP), LARGURA 0,8 A 1,5 M, PROFUNDIDADE ATÉ 1,5 M, COM SOLO (SEM SUBSTITUIÇÃO) DE 1ª CATEGORIA, COM COMPACTADOR DE SOLOS DE PERCUSSÃO AF_08/2023</t>
        </is>
      </c>
      <c r="E123" s="18" t="inlineStr">
        <is>
          <t>m³</t>
        </is>
      </c>
      <c r="F123" s="19" t="n">
        <v>8.73</v>
      </c>
      <c r="G123" s="20" t="n">
        <v>19.8</v>
      </c>
      <c r="H123" s="20" t="str">
        <f>TRUNC(G123 * (1 + 29.07 / 100), 2)</f>
      </c>
      <c r="I123" s="20" t="str">
        <f>TRUNC(F123 * h123, 2)</f>
      </c>
      <c r="J123" s="21" t="str">
        <f>i123 / 3372490.28</f>
      </c>
    </row>
    <row customHeight="1" ht="52" r="124">
      <c r="A124" s="17" t="inlineStr">
        <is>
          <t> 06.3.11 </t>
        </is>
      </c>
      <c r="B124" s="19" t="inlineStr">
        <is>
          <t> 100974 </t>
        </is>
      </c>
      <c r="C124" s="17" t="inlineStr">
        <is>
          <t>SINAPI</t>
        </is>
      </c>
      <c r="D124" s="17" t="inlineStr">
        <is>
          <t>CARGA, MANOBRA E DESCARGA DE SOLOS E MATERIAIS GRANULARES EM CAMINHÃO BASCULANTE 10 M³ - CARGA COM PÁ CARREGADEIRA (CAÇAMBA DE 1,7 A 2,8 M³ / 128 HP) E DESCARGA LIVRE (UNIDADE: M3). AF_07/2020</t>
        </is>
      </c>
      <c r="E124" s="18" t="inlineStr">
        <is>
          <t>m³</t>
        </is>
      </c>
      <c r="F124" s="19" t="n">
        <v>10.91</v>
      </c>
      <c r="G124" s="20" t="n">
        <v>8.67</v>
      </c>
      <c r="H124" s="20" t="str">
        <f>TRUNC(G124 * (1 + 29.07 / 100), 2)</f>
      </c>
      <c r="I124" s="20" t="str">
        <f>TRUNC(F124 * h124, 2)</f>
      </c>
      <c r="J124" s="21" t="str">
        <f>i124 / 3372490.28</f>
      </c>
    </row>
    <row customHeight="1" ht="39" r="125">
      <c r="A125" s="17" t="inlineStr">
        <is>
          <t> 06.3.12 </t>
        </is>
      </c>
      <c r="B125" s="19" t="inlineStr">
        <is>
          <t> 95875 </t>
        </is>
      </c>
      <c r="C125" s="17" t="inlineStr">
        <is>
          <t>SINAPI</t>
        </is>
      </c>
      <c r="D125" s="17" t="inlineStr">
        <is>
          <t>TRANSPORTE COM CAMINHÃO BASCULANTE DE 10 M³, EM VIA URBANA PAVIMENTADA, DMT ATÉ 30 KM (UNIDADE: M3XKM). AF_07/2020</t>
        </is>
      </c>
      <c r="E125" s="18" t="inlineStr">
        <is>
          <t>M3XKM</t>
        </is>
      </c>
      <c r="F125" s="19" t="n">
        <v>327.44</v>
      </c>
      <c r="G125" s="20" t="n">
        <v>2.37</v>
      </c>
      <c r="H125" s="20" t="str">
        <f>TRUNC(G125 * (1 + 29.07 / 100), 2)</f>
      </c>
      <c r="I125" s="20" t="str">
        <f>TRUNC(F125 * h125, 2)</f>
      </c>
      <c r="J125" s="21" t="str">
        <f>i125 / 3372490.28</f>
      </c>
    </row>
    <row customHeight="1" ht="39" r="126">
      <c r="A126" s="17" t="inlineStr">
        <is>
          <t> 06.3.13 </t>
        </is>
      </c>
      <c r="B126" s="19" t="inlineStr">
        <is>
          <t> 103316 </t>
        </is>
      </c>
      <c r="C126" s="17" t="inlineStr">
        <is>
          <t>SINAPI</t>
        </is>
      </c>
      <c r="D126" s="17" t="inlineStr">
        <is>
          <t>ALVENARIA DE VEDAÇÃO DE BLOCOS VAZADOS DE CONCRETO DE 9X19X39 CM (ESPESSURA 9 CM) E ARGAMASSA DE ASSENTAMENTO COM PREPARO EM BETONEIRA. AF_12/2021</t>
        </is>
      </c>
      <c r="E126" s="18" t="inlineStr">
        <is>
          <t>m²</t>
        </is>
      </c>
      <c r="F126" s="19" t="n">
        <v>30.24</v>
      </c>
      <c r="G126" s="20" t="n">
        <v>68.08</v>
      </c>
      <c r="H126" s="20" t="str">
        <f>TRUNC(G126 * (1 + 29.07 / 100), 2)</f>
      </c>
      <c r="I126" s="20" t="str">
        <f>TRUNC(F126 * h126, 2)</f>
      </c>
      <c r="J126" s="21" t="str">
        <f>i126 / 3372490.28</f>
      </c>
    </row>
    <row customHeight="1" ht="26" r="127">
      <c r="A127" s="17" t="inlineStr">
        <is>
          <t> 06.3.14 </t>
        </is>
      </c>
      <c r="B127" s="19" t="inlineStr">
        <is>
          <t> IP0046 </t>
        </is>
      </c>
      <c r="C127" s="17" t="inlineStr">
        <is>
          <t>Próprio</t>
        </is>
      </c>
      <c r="D127" s="17" t="inlineStr">
        <is>
          <t>COMPACTAÇÃO MANUAL COM PLACA VIBRATÓRIA SEM CONTROLE DO GRAU DE COMPACTAÇÃO</t>
        </is>
      </c>
      <c r="E127" s="18" t="inlineStr">
        <is>
          <t>m³</t>
        </is>
      </c>
      <c r="F127" s="19" t="n">
        <v>4.8</v>
      </c>
      <c r="G127" s="20" t="n">
        <v>56.28</v>
      </c>
      <c r="H127" s="20" t="str">
        <f>TRUNC(G127 * (1 + 29.07 / 100), 2)</f>
      </c>
      <c r="I127" s="20" t="str">
        <f>TRUNC(F127 * h127, 2)</f>
      </c>
      <c r="J127" s="21" t="str">
        <f>i127 / 3372490.28</f>
      </c>
    </row>
    <row customHeight="1" ht="39" r="128">
      <c r="A128" s="17" t="inlineStr">
        <is>
          <t> 06.3.15 </t>
        </is>
      </c>
      <c r="B128" s="19" t="inlineStr">
        <is>
          <t> 100324 </t>
        </is>
      </c>
      <c r="C128" s="17" t="inlineStr">
        <is>
          <t>SINAPI</t>
        </is>
      </c>
      <c r="D128" s="17" t="inlineStr">
        <is>
          <t>LASTRO COM MATERIAL GRANULAR (PEDRA BRITADA N.1 E PEDRA BRITADA N.2), APLICADO EM PISOS OU LAJES SOBRE SOLO, ESPESSURA DE *10 CM*. AF_01/2024</t>
        </is>
      </c>
      <c r="E128" s="18" t="inlineStr">
        <is>
          <t>m³</t>
        </is>
      </c>
      <c r="F128" s="19" t="n">
        <v>2.4</v>
      </c>
      <c r="G128" s="20" t="n">
        <v>192.51</v>
      </c>
      <c r="H128" s="20" t="str">
        <f>TRUNC(G128 * (1 + 29.07 / 100), 2)</f>
      </c>
      <c r="I128" s="20" t="str">
        <f>TRUNC(F128 * h128, 2)</f>
      </c>
      <c r="J128" s="21" t="str">
        <f>i128 / 3372490.28</f>
      </c>
    </row>
    <row customHeight="1" ht="39" r="129">
      <c r="A129" s="17" t="inlineStr">
        <is>
          <t> 06.3.16 </t>
        </is>
      </c>
      <c r="B129" s="19" t="inlineStr">
        <is>
          <t> 97087 </t>
        </is>
      </c>
      <c r="C129" s="17" t="inlineStr">
        <is>
          <t>SINAPI</t>
        </is>
      </c>
      <c r="D129" s="17" t="inlineStr">
        <is>
          <t>CAMADA SEPARADORA PARA EXECUÇÃO DE RADIER, PISO DE CONCRETO OU LAJE SOBRE SOLO, EM LONA PLÁSTICA. AF_09/2021</t>
        </is>
      </c>
      <c r="E129" s="18" t="inlineStr">
        <is>
          <t>m²</t>
        </is>
      </c>
      <c r="F129" s="19" t="n">
        <v>24.0</v>
      </c>
      <c r="G129" s="20" t="n">
        <v>2.99</v>
      </c>
      <c r="H129" s="20" t="str">
        <f>TRUNC(G129 * (1 + 29.07 / 100), 2)</f>
      </c>
      <c r="I129" s="20" t="str">
        <f>TRUNC(F129 * h129, 2)</f>
      </c>
      <c r="J129" s="21" t="str">
        <f>i129 / 3372490.28</f>
      </c>
    </row>
    <row customHeight="1" ht="39" r="130">
      <c r="A130" s="17" t="inlineStr">
        <is>
          <t> 06.3.17 </t>
        </is>
      </c>
      <c r="B130" s="19" t="inlineStr">
        <is>
          <t> 97088 </t>
        </is>
      </c>
      <c r="C130" s="17" t="inlineStr">
        <is>
          <t>SINAPI</t>
        </is>
      </c>
      <c r="D130" s="17" t="inlineStr">
        <is>
          <t>ARMAÇÃO PARA EXECUÇÃO DE RADIER, PISO DE CONCRETO OU LAJE SOBRE SOLO, COM USO DE TELA Q-92. AF_09/2021</t>
        </is>
      </c>
      <c r="E130" s="18" t="inlineStr">
        <is>
          <t>KG</t>
        </is>
      </c>
      <c r="F130" s="19" t="n">
        <v>35.52</v>
      </c>
      <c r="G130" s="20" t="n">
        <v>13.53</v>
      </c>
      <c r="H130" s="20" t="str">
        <f>TRUNC(G130 * (1 + 29.07 / 100), 2)</f>
      </c>
      <c r="I130" s="20" t="str">
        <f>TRUNC(F130 * h130, 2)</f>
      </c>
      <c r="J130" s="21" t="str">
        <f>i130 / 3372490.28</f>
      </c>
    </row>
    <row customHeight="1" ht="39" r="131">
      <c r="A131" s="17" t="inlineStr">
        <is>
          <t> 06.3.18 </t>
        </is>
      </c>
      <c r="B131" s="19" t="inlineStr">
        <is>
          <t> 97096 </t>
        </is>
      </c>
      <c r="C131" s="17" t="inlineStr">
        <is>
          <t>SINAPI</t>
        </is>
      </c>
      <c r="D131" s="17" t="inlineStr">
        <is>
          <t>CONCRETAGEM DE RADIER, PISO DE CONCRETO OU LAJE SOBRE SOLO, FCK 30 MPA - LANÇAMENTO, ADENSAMENTO E ACABAMENTO. AF_09/2021</t>
        </is>
      </c>
      <c r="E131" s="18" t="inlineStr">
        <is>
          <t>m³</t>
        </is>
      </c>
      <c r="F131" s="19" t="n">
        <v>2.4</v>
      </c>
      <c r="G131" s="20" t="n">
        <v>617.04</v>
      </c>
      <c r="H131" s="20" t="str">
        <f>TRUNC(G131 * (1 + 29.07 / 100), 2)</f>
      </c>
      <c r="I131" s="20" t="str">
        <f>TRUNC(F131 * h131, 2)</f>
      </c>
      <c r="J131" s="21" t="str">
        <f>i131 / 3372490.28</f>
      </c>
    </row>
    <row customHeight="1" ht="24" r="132">
      <c r="A132" s="9" t="inlineStr">
        <is>
          <t> 06.4 </t>
        </is>
      </c>
      <c r="B132" s="9"/>
      <c r="C132" s="9"/>
      <c r="D132" s="9" t="inlineStr">
        <is>
          <t>ESCADA EXTERNA</t>
        </is>
      </c>
      <c r="E132" s="9"/>
      <c r="F132" s="11"/>
      <c r="G132" s="9"/>
      <c r="H132" s="9"/>
      <c r="I132" s="12" t="n">
        <v>5389.14</v>
      </c>
      <c r="J132" s="13" t="str">
        <f>i132 / 3372490.28</f>
      </c>
    </row>
    <row customHeight="1" ht="24" r="133">
      <c r="A133" s="17" t="inlineStr">
        <is>
          <t> 06.4.1 </t>
        </is>
      </c>
      <c r="B133" s="19" t="inlineStr">
        <is>
          <t> RC0052 </t>
        </is>
      </c>
      <c r="C133" s="17" t="inlineStr">
        <is>
          <t>Próprio</t>
        </is>
      </c>
      <c r="D133" s="17" t="inlineStr">
        <is>
          <t>REGULARIZAÇÃO MANUAL</t>
        </is>
      </c>
      <c r="E133" s="18" t="inlineStr">
        <is>
          <t>m²</t>
        </is>
      </c>
      <c r="F133" s="19" t="n">
        <v>18.0</v>
      </c>
      <c r="G133" s="20" t="n">
        <v>6.36</v>
      </c>
      <c r="H133" s="20" t="str">
        <f>TRUNC(G133 * (1 + 29.07 / 100), 2)</f>
      </c>
      <c r="I133" s="20" t="str">
        <f>TRUNC(F133 * h133, 2)</f>
      </c>
      <c r="J133" s="21" t="str">
        <f>i133 / 3372490.28</f>
      </c>
    </row>
    <row customHeight="1" ht="26" r="134">
      <c r="A134" s="17" t="inlineStr">
        <is>
          <t> 06.4.2 </t>
        </is>
      </c>
      <c r="B134" s="19" t="inlineStr">
        <is>
          <t> IP0046 </t>
        </is>
      </c>
      <c r="C134" s="17" t="inlineStr">
        <is>
          <t>Próprio</t>
        </is>
      </c>
      <c r="D134" s="17" t="inlineStr">
        <is>
          <t>COMPACTAÇÃO MANUAL COM PLACA VIBRATÓRIA SEM CONTROLE DO GRAU DE COMPACTAÇÃO</t>
        </is>
      </c>
      <c r="E134" s="18" t="inlineStr">
        <is>
          <t>m³</t>
        </is>
      </c>
      <c r="F134" s="19" t="n">
        <v>3.6</v>
      </c>
      <c r="G134" s="20" t="n">
        <v>56.28</v>
      </c>
      <c r="H134" s="20" t="str">
        <f>TRUNC(G134 * (1 + 29.07 / 100), 2)</f>
      </c>
      <c r="I134" s="20" t="str">
        <f>TRUNC(F134 * h134, 2)</f>
      </c>
      <c r="J134" s="21" t="str">
        <f>i134 / 3372490.28</f>
      </c>
    </row>
    <row customHeight="1" ht="39" r="135">
      <c r="A135" s="17" t="inlineStr">
        <is>
          <t> 06.4.3 </t>
        </is>
      </c>
      <c r="B135" s="19" t="inlineStr">
        <is>
          <t> 100324 </t>
        </is>
      </c>
      <c r="C135" s="17" t="inlineStr">
        <is>
          <t>SINAPI</t>
        </is>
      </c>
      <c r="D135" s="17" t="inlineStr">
        <is>
          <t>LASTRO COM MATERIAL GRANULAR (PEDRA BRITADA N.1 E PEDRA BRITADA N.2), APLICADO EM PISOS OU LAJES SOBRE SOLO, ESPESSURA DE *10 CM*. AF_01/2024</t>
        </is>
      </c>
      <c r="E135" s="18" t="inlineStr">
        <is>
          <t>m³</t>
        </is>
      </c>
      <c r="F135" s="19" t="n">
        <v>1.8</v>
      </c>
      <c r="G135" s="20" t="n">
        <v>192.51</v>
      </c>
      <c r="H135" s="20" t="str">
        <f>TRUNC(G135 * (1 + 29.07 / 100), 2)</f>
      </c>
      <c r="I135" s="20" t="str">
        <f>TRUNC(F135 * h135, 2)</f>
      </c>
      <c r="J135" s="21" t="str">
        <f>i135 / 3372490.28</f>
      </c>
    </row>
    <row customHeight="1" ht="39" r="136">
      <c r="A136" s="17" t="inlineStr">
        <is>
          <t> 06.4.4 </t>
        </is>
      </c>
      <c r="B136" s="19" t="inlineStr">
        <is>
          <t> 97087 </t>
        </is>
      </c>
      <c r="C136" s="17" t="inlineStr">
        <is>
          <t>SINAPI</t>
        </is>
      </c>
      <c r="D136" s="17" t="inlineStr">
        <is>
          <t>CAMADA SEPARADORA PARA EXECUÇÃO DE RADIER, PISO DE CONCRETO OU LAJE SOBRE SOLO, EM LONA PLÁSTICA. AF_09/2021</t>
        </is>
      </c>
      <c r="E136" s="18" t="inlineStr">
        <is>
          <t>m²</t>
        </is>
      </c>
      <c r="F136" s="19" t="n">
        <v>18.0</v>
      </c>
      <c r="G136" s="20" t="n">
        <v>2.99</v>
      </c>
      <c r="H136" s="20" t="str">
        <f>TRUNC(G136 * (1 + 29.07 / 100), 2)</f>
      </c>
      <c r="I136" s="20" t="str">
        <f>TRUNC(F136 * h136, 2)</f>
      </c>
      <c r="J136" s="21" t="str">
        <f>i136 / 3372490.28</f>
      </c>
    </row>
    <row customHeight="1" ht="39" r="137">
      <c r="A137" s="17" t="inlineStr">
        <is>
          <t> 06.4.5 </t>
        </is>
      </c>
      <c r="B137" s="19" t="inlineStr">
        <is>
          <t> 97086 </t>
        </is>
      </c>
      <c r="C137" s="17" t="inlineStr">
        <is>
          <t>SINAPI</t>
        </is>
      </c>
      <c r="D137" s="17" t="inlineStr">
        <is>
          <t>FABRICAÇÃO, MONTAGEM E DESMONTAGEM DE FORMA PARA RADIER, PISO DE CONCRETO OU LAJE SOBRE SOLO, EM MADEIRA SERRADA, 4 UTILIZAÇÕES. AF_09/2021</t>
        </is>
      </c>
      <c r="E137" s="18" t="inlineStr">
        <is>
          <t>m²</t>
        </is>
      </c>
      <c r="F137" s="19" t="n">
        <v>6.12</v>
      </c>
      <c r="G137" s="20" t="n">
        <v>132.28</v>
      </c>
      <c r="H137" s="20" t="str">
        <f>TRUNC(G137 * (1 + 29.07 / 100), 2)</f>
      </c>
      <c r="I137" s="20" t="str">
        <f>TRUNC(F137 * h137, 2)</f>
      </c>
      <c r="J137" s="21" t="str">
        <f>i137 / 3372490.28</f>
      </c>
    </row>
    <row customHeight="1" ht="39" r="138">
      <c r="A138" s="17" t="inlineStr">
        <is>
          <t> 06.4.6 </t>
        </is>
      </c>
      <c r="B138" s="19" t="inlineStr">
        <is>
          <t> 97088 </t>
        </is>
      </c>
      <c r="C138" s="17" t="inlineStr">
        <is>
          <t>SINAPI</t>
        </is>
      </c>
      <c r="D138" s="17" t="inlineStr">
        <is>
          <t>ARMAÇÃO PARA EXECUÇÃO DE RADIER, PISO DE CONCRETO OU LAJE SOBRE SOLO, COM USO DE TELA Q-92. AF_09/2021</t>
        </is>
      </c>
      <c r="E138" s="18" t="inlineStr">
        <is>
          <t>KG</t>
        </is>
      </c>
      <c r="F138" s="19" t="n">
        <v>26.64</v>
      </c>
      <c r="G138" s="20" t="n">
        <v>13.53</v>
      </c>
      <c r="H138" s="20" t="str">
        <f>TRUNC(G138 * (1 + 29.07 / 100), 2)</f>
      </c>
      <c r="I138" s="20" t="str">
        <f>TRUNC(F138 * h138, 2)</f>
      </c>
      <c r="J138" s="21" t="str">
        <f>i138 / 3372490.28</f>
      </c>
    </row>
    <row customHeight="1" ht="39" r="139">
      <c r="A139" s="17" t="inlineStr">
        <is>
          <t> 06.4.7 </t>
        </is>
      </c>
      <c r="B139" s="19" t="inlineStr">
        <is>
          <t> 97096 </t>
        </is>
      </c>
      <c r="C139" s="17" t="inlineStr">
        <is>
          <t>SINAPI</t>
        </is>
      </c>
      <c r="D139" s="17" t="inlineStr">
        <is>
          <t>CONCRETAGEM DE RADIER, PISO DE CONCRETO OU LAJE SOBRE SOLO, FCK 30 MPA - LANÇAMENTO, ADENSAMENTO E ACABAMENTO. AF_09/2021</t>
        </is>
      </c>
      <c r="E139" s="18" t="inlineStr">
        <is>
          <t>m³</t>
        </is>
      </c>
      <c r="F139" s="19" t="n">
        <v>3.6</v>
      </c>
      <c r="G139" s="20" t="n">
        <v>617.04</v>
      </c>
      <c r="H139" s="20" t="str">
        <f>TRUNC(G139 * (1 + 29.07 / 100), 2)</f>
      </c>
      <c r="I139" s="20" t="str">
        <f>TRUNC(F139 * h139, 2)</f>
      </c>
      <c r="J139" s="21" t="str">
        <f>i139 / 3372490.28</f>
      </c>
    </row>
    <row customHeight="1" ht="39" r="140">
      <c r="A140" s="17" t="inlineStr">
        <is>
          <t> 06.4.8 </t>
        </is>
      </c>
      <c r="B140" s="19" t="inlineStr">
        <is>
          <t> RC0165 </t>
        </is>
      </c>
      <c r="C140" s="17" t="inlineStr">
        <is>
          <t>Próprio</t>
        </is>
      </c>
      <c r="D140" s="17" t="inlineStr">
        <is>
          <t>CONTROLE TECNOLÓGICO DE CONCRETO - POR ROMPIMENTO DE CORPO DE PROVA - INCLUINDO EMISSÃO DE CERTIFICADOS</t>
        </is>
      </c>
      <c r="E140" s="18" t="inlineStr">
        <is>
          <t>UND</t>
        </is>
      </c>
      <c r="F140" s="19" t="n">
        <v>4.0</v>
      </c>
      <c r="G140" s="20" t="n">
        <v>16.75</v>
      </c>
      <c r="H140" s="20" t="str">
        <f>TRUNC(G140 * (1 + 29.07 / 100), 2)</f>
      </c>
      <c r="I140" s="20" t="str">
        <f>TRUNC(F140 * h140, 2)</f>
      </c>
      <c r="J140" s="21" t="str">
        <f>i140 / 3372490.28</f>
      </c>
    </row>
    <row customHeight="1" ht="24" r="141">
      <c r="A141" s="9" t="inlineStr">
        <is>
          <t> 07 </t>
        </is>
      </c>
      <c r="B141" s="9"/>
      <c r="C141" s="9"/>
      <c r="D141" s="9" t="inlineStr">
        <is>
          <t>PAREDES E DIVISORIAS</t>
        </is>
      </c>
      <c r="E141" s="9"/>
      <c r="F141" s="11"/>
      <c r="G141" s="9"/>
      <c r="H141" s="9"/>
      <c r="I141" s="12" t="n">
        <v>270040.61</v>
      </c>
      <c r="J141" s="13" t="str">
        <f>i141 / 3372490.28</f>
      </c>
    </row>
    <row customHeight="1" ht="65" r="142">
      <c r="A142" s="17" t="inlineStr">
        <is>
          <t> 07.1 </t>
        </is>
      </c>
      <c r="B142" s="19" t="inlineStr">
        <is>
          <t> 96359 </t>
        </is>
      </c>
      <c r="C142" s="17" t="inlineStr">
        <is>
          <t>SINAPI</t>
        </is>
      </c>
      <c r="D142" s="17" t="inlineStr">
        <is>
          <t>PAREDE COM SISTEMA EM CHAPAS DE GESSO PARA DRYWALL, RESISTENTE A UMIDADE, USO INTERNO, COM DUAS FACES SIMPLES E ESTRUTURA METÁLICA COM GUIAS SIMPLES PARA PAREDES COM ÁREA LÍQUIDA MAIOR OU IGUAL A 6 M2, COM VÃOS. AF_07/2023_PS</t>
        </is>
      </c>
      <c r="E142" s="18" t="inlineStr">
        <is>
          <t>m²</t>
        </is>
      </c>
      <c r="F142" s="19" t="n">
        <v>413.99</v>
      </c>
      <c r="G142" s="20" t="n">
        <v>123.72</v>
      </c>
      <c r="H142" s="20" t="str">
        <f>TRUNC(G142 * (1 + 29.07 / 100), 2)</f>
      </c>
      <c r="I142" s="20" t="str">
        <f>TRUNC(F142 * h142, 2)</f>
      </c>
      <c r="J142" s="21" t="str">
        <f>i142 / 3372490.28</f>
      </c>
    </row>
    <row customHeight="1" ht="39" r="143">
      <c r="A143" s="17" t="inlineStr">
        <is>
          <t> 07.2 </t>
        </is>
      </c>
      <c r="B143" s="19" t="inlineStr">
        <is>
          <t> 103316 </t>
        </is>
      </c>
      <c r="C143" s="17" t="inlineStr">
        <is>
          <t>SINAPI</t>
        </is>
      </c>
      <c r="D143" s="17" t="inlineStr">
        <is>
          <t>ALVENARIA DE VEDAÇÃO DE BLOCOS VAZADOS DE CONCRETO DE 9X19X39 CM (ESPESSURA 9 CM) E ARGAMASSA DE ASSENTAMENTO COM PREPARO EM BETONEIRA. AF_12/2021</t>
        </is>
      </c>
      <c r="E143" s="18" t="inlineStr">
        <is>
          <t>m²</t>
        </is>
      </c>
      <c r="F143" s="19" t="n">
        <v>802.68</v>
      </c>
      <c r="G143" s="20" t="n">
        <v>68.08</v>
      </c>
      <c r="H143" s="20" t="str">
        <f>TRUNC(G143 * (1 + 29.07 / 100), 2)</f>
      </c>
      <c r="I143" s="20" t="str">
        <f>TRUNC(F143 * h143, 2)</f>
      </c>
      <c r="J143" s="21" t="str">
        <f>i143 / 3372490.28</f>
      </c>
    </row>
    <row customHeight="1" ht="26" r="144">
      <c r="A144" s="17" t="inlineStr">
        <is>
          <t> 07.3 </t>
        </is>
      </c>
      <c r="B144" s="19" t="inlineStr">
        <is>
          <t> 96374 </t>
        </is>
      </c>
      <c r="C144" s="17" t="inlineStr">
        <is>
          <t>SINAPI</t>
        </is>
      </c>
      <c r="D144" s="17" t="inlineStr">
        <is>
          <t>INSTALAÇÃO DE REFORÇO DE MADEIRA EM PAREDE DRYWALL. AF_07/2023</t>
        </is>
      </c>
      <c r="E144" s="18" t="inlineStr">
        <is>
          <t>M</t>
        </is>
      </c>
      <c r="F144" s="19" t="n">
        <v>116.86</v>
      </c>
      <c r="G144" s="20" t="n">
        <v>30.9</v>
      </c>
      <c r="H144" s="20" t="str">
        <f>TRUNC(G144 * (1 + 29.07 / 100), 2)</f>
      </c>
      <c r="I144" s="20" t="str">
        <f>TRUNC(F144 * h144, 2)</f>
      </c>
      <c r="J144" s="21" t="str">
        <f>i144 / 3372490.28</f>
      </c>
    </row>
    <row customHeight="1" ht="26" r="145">
      <c r="A145" s="17" t="inlineStr">
        <is>
          <t> 07.4 </t>
        </is>
      </c>
      <c r="B145" s="19" t="inlineStr">
        <is>
          <t> 96373 </t>
        </is>
      </c>
      <c r="C145" s="17" t="inlineStr">
        <is>
          <t>SINAPI</t>
        </is>
      </c>
      <c r="D145" s="17" t="inlineStr">
        <is>
          <t>INSTALAÇÃO DE REFORÇO METÁLICO EM PAREDE DRYWALL. AF_07/2023</t>
        </is>
      </c>
      <c r="E145" s="18" t="inlineStr">
        <is>
          <t>M</t>
        </is>
      </c>
      <c r="F145" s="19" t="n">
        <v>124.5</v>
      </c>
      <c r="G145" s="20" t="n">
        <v>12.88</v>
      </c>
      <c r="H145" s="20" t="str">
        <f>TRUNC(G145 * (1 + 29.07 / 100), 2)</f>
      </c>
      <c r="I145" s="20" t="str">
        <f>TRUNC(F145 * h145, 2)</f>
      </c>
      <c r="J145" s="21" t="str">
        <f>i145 / 3372490.28</f>
      </c>
    </row>
    <row customHeight="1" ht="39" r="146">
      <c r="A146" s="17" t="inlineStr">
        <is>
          <t> 07.5 </t>
        </is>
      </c>
      <c r="B146" s="19" t="inlineStr">
        <is>
          <t> 102253 </t>
        </is>
      </c>
      <c r="C146" s="17" t="inlineStr">
        <is>
          <t>SINAPI</t>
        </is>
      </c>
      <c r="D146" s="17" t="inlineStr">
        <is>
          <t>DIVISORIA SANITÁRIA, TIPO CABINE, EM GRANITO CINZA POLIDO, ESP = 3CM, ASSENTADO COM ARGAMASSA COLANTE AC III-E, EXCLUSIVE FERRAGENS. AF_01/2021</t>
        </is>
      </c>
      <c r="E146" s="18" t="inlineStr">
        <is>
          <t>m²</t>
        </is>
      </c>
      <c r="F146" s="19" t="n">
        <v>25.68</v>
      </c>
      <c r="G146" s="20" t="n">
        <v>672.39</v>
      </c>
      <c r="H146" s="20" t="str">
        <f>TRUNC(G146 * (1 + 29.07 / 100), 2)</f>
      </c>
      <c r="I146" s="20" t="str">
        <f>TRUNC(F146 * h146, 2)</f>
      </c>
      <c r="J146" s="21" t="str">
        <f>i146 / 3372490.28</f>
      </c>
    </row>
    <row customHeight="1" ht="26" r="147">
      <c r="A147" s="17" t="inlineStr">
        <is>
          <t> 07.6 </t>
        </is>
      </c>
      <c r="B147" s="19" t="inlineStr">
        <is>
          <t> 102235 </t>
        </is>
      </c>
      <c r="C147" s="17" t="inlineStr">
        <is>
          <t>SINAPI</t>
        </is>
      </c>
      <c r="D147" s="17" t="inlineStr">
        <is>
          <t>DIVISÓRIA FIXA EM VIDRO TEMPERADO 10 MM, SEM ABERTURA. AF_01/2021_PS</t>
        </is>
      </c>
      <c r="E147" s="18" t="inlineStr">
        <is>
          <t>m²</t>
        </is>
      </c>
      <c r="F147" s="19" t="n">
        <v>60.6</v>
      </c>
      <c r="G147" s="20" t="n">
        <v>576.86</v>
      </c>
      <c r="H147" s="20" t="str">
        <f>TRUNC(G147 * (1 + 29.07 / 100), 2)</f>
      </c>
      <c r="I147" s="20" t="str">
        <f>TRUNC(F147 * h147, 2)</f>
      </c>
      <c r="J147" s="21" t="str">
        <f>i147 / 3372490.28</f>
      </c>
    </row>
    <row customHeight="1" ht="26" r="148">
      <c r="A148" s="17" t="inlineStr">
        <is>
          <t> 07.7 </t>
        </is>
      </c>
      <c r="B148" s="19" t="inlineStr">
        <is>
          <t> 105028 </t>
        </is>
      </c>
      <c r="C148" s="17" t="inlineStr">
        <is>
          <t>SINAPI</t>
        </is>
      </c>
      <c r="D148" s="17" t="inlineStr">
        <is>
          <t>CONTRAVERGA PRÉ-MOLDADA, ESPESSURA DE *10* CM. AF_03/2024</t>
        </is>
      </c>
      <c r="E148" s="18" t="inlineStr">
        <is>
          <t>M</t>
        </is>
      </c>
      <c r="F148" s="19" t="n">
        <v>105.2</v>
      </c>
      <c r="G148" s="20" t="n">
        <v>21.42</v>
      </c>
      <c r="H148" s="20" t="str">
        <f>TRUNC(G148 * (1 + 29.07 / 100), 2)</f>
      </c>
      <c r="I148" s="20" t="str">
        <f>TRUNC(F148 * h148, 2)</f>
      </c>
      <c r="J148" s="21" t="str">
        <f>i148 / 3372490.28</f>
      </c>
    </row>
    <row customHeight="1" ht="26" r="149">
      <c r="A149" s="17" t="inlineStr">
        <is>
          <t> 07.8 </t>
        </is>
      </c>
      <c r="B149" s="19" t="inlineStr">
        <is>
          <t> 105022 </t>
        </is>
      </c>
      <c r="C149" s="17" t="inlineStr">
        <is>
          <t>SINAPI</t>
        </is>
      </c>
      <c r="D149" s="17" t="inlineStr">
        <is>
          <t>VERGA PRÉ-MOLDADA COM ATÉ 1,5 M DE VÃO, ESPESSURA DE *10* CM. AF_03/2024</t>
        </is>
      </c>
      <c r="E149" s="18" t="inlineStr">
        <is>
          <t>M</t>
        </is>
      </c>
      <c r="F149" s="19" t="n">
        <v>20.9</v>
      </c>
      <c r="G149" s="20" t="n">
        <v>21.75</v>
      </c>
      <c r="H149" s="20" t="str">
        <f>TRUNC(G149 * (1 + 29.07 / 100), 2)</f>
      </c>
      <c r="I149" s="20" t="str">
        <f>TRUNC(F149 * h149, 2)</f>
      </c>
      <c r="J149" s="21" t="str">
        <f>i149 / 3372490.28</f>
      </c>
    </row>
    <row customHeight="1" ht="26" r="150">
      <c r="A150" s="17" t="inlineStr">
        <is>
          <t> 07.9 </t>
        </is>
      </c>
      <c r="B150" s="19" t="inlineStr">
        <is>
          <t> ITA0025 </t>
        </is>
      </c>
      <c r="C150" s="17" t="inlineStr">
        <is>
          <t>Próprio</t>
        </is>
      </c>
      <c r="D150" s="17" t="inlineStr">
        <is>
          <t>PILAR DE AMARRAÇÃO DE ALVENARIA MOLDADA IN LOCO EM CONCRETO. AF_03/2016</t>
        </is>
      </c>
      <c r="E150" s="18" t="inlineStr">
        <is>
          <t>M</t>
        </is>
      </c>
      <c r="F150" s="19" t="n">
        <v>128.24</v>
      </c>
      <c r="G150" s="20" t="n">
        <v>66.17</v>
      </c>
      <c r="H150" s="20" t="str">
        <f>TRUNC(G150 * (1 + 29.07 / 100), 2)</f>
      </c>
      <c r="I150" s="20" t="str">
        <f>TRUNC(F150 * h150, 2)</f>
      </c>
      <c r="J150" s="21" t="str">
        <f>i150 / 3372490.28</f>
      </c>
    </row>
    <row customHeight="1" ht="26" r="151">
      <c r="A151" s="17" t="inlineStr">
        <is>
          <t> 07.10 </t>
        </is>
      </c>
      <c r="B151" s="19" t="inlineStr">
        <is>
          <t> 93201 </t>
        </is>
      </c>
      <c r="C151" s="17" t="inlineStr">
        <is>
          <t>SINAPI</t>
        </is>
      </c>
      <c r="D151" s="17" t="inlineStr">
        <is>
          <t>FIXAÇÃO (ENCUNHAMENTO) DE ALVENARIA DE VEDAÇÃO COM ARGAMASSA APLICADA COM COLHER. AF_03/2016</t>
        </is>
      </c>
      <c r="E151" s="18" t="inlineStr">
        <is>
          <t>M</t>
        </is>
      </c>
      <c r="F151" s="19" t="n">
        <v>244.56</v>
      </c>
      <c r="G151" s="20" t="n">
        <v>7.28</v>
      </c>
      <c r="H151" s="20" t="str">
        <f>TRUNC(G151 * (1 + 29.07 / 100), 2)</f>
      </c>
      <c r="I151" s="20" t="str">
        <f>TRUNC(F151 * h151, 2)</f>
      </c>
      <c r="J151" s="21" t="str">
        <f>i151 / 3372490.28</f>
      </c>
    </row>
    <row customHeight="1" ht="26" r="152">
      <c r="A152" s="17" t="inlineStr">
        <is>
          <t> 07.11 </t>
        </is>
      </c>
      <c r="B152" s="19" t="inlineStr">
        <is>
          <t> SEMAI 00.04.007 </t>
        </is>
      </c>
      <c r="C152" s="17" t="inlineStr">
        <is>
          <t>Próprio</t>
        </is>
      </c>
      <c r="D152" s="17" t="inlineStr">
        <is>
          <t>ISOLAMENTO ACUSTICO COM PAINEL DE LA DE VIDRO SEM REVESTIMENTO PSI 20, E = 50 MM, DE 1200 X 600 MM</t>
        </is>
      </c>
      <c r="E152" s="18" t="inlineStr">
        <is>
          <t>m²</t>
        </is>
      </c>
      <c r="F152" s="19" t="n">
        <v>413.99</v>
      </c>
      <c r="G152" s="20" t="n">
        <v>79.59</v>
      </c>
      <c r="H152" s="20" t="str">
        <f>TRUNC(G152 * (1 + 29.07 / 100), 2)</f>
      </c>
      <c r="I152" s="20" t="str">
        <f>TRUNC(F152 * h152, 2)</f>
      </c>
      <c r="J152" s="21" t="str">
        <f>i152 / 3372490.28</f>
      </c>
    </row>
    <row customHeight="1" ht="24" r="153">
      <c r="A153" s="9" t="inlineStr">
        <is>
          <t> 08 </t>
        </is>
      </c>
      <c r="B153" s="9"/>
      <c r="C153" s="9"/>
      <c r="D153" s="9" t="inlineStr">
        <is>
          <t>ESQUADRIAS</t>
        </is>
      </c>
      <c r="E153" s="9"/>
      <c r="F153" s="11"/>
      <c r="G153" s="9"/>
      <c r="H153" s="9"/>
      <c r="I153" s="12" t="n">
        <v>367781.84</v>
      </c>
      <c r="J153" s="13" t="str">
        <f>i153 / 3372490.28</f>
      </c>
    </row>
    <row customHeight="1" ht="65" r="154">
      <c r="A154" s="17" t="inlineStr">
        <is>
          <t> 08.01 </t>
        </is>
      </c>
      <c r="B154" s="19" t="inlineStr">
        <is>
          <t> 90790 </t>
        </is>
      </c>
      <c r="C154" s="17" t="inlineStr">
        <is>
          <t>SINAPI</t>
        </is>
      </c>
      <c r="D154" s="17" t="inlineStr">
        <is>
          <t>KIT DE PORTA-PRONTA DE MADEIRA EM ACABAMENTO MELAMÍNICO BRANCO, FOLHA LEVE OU MÉDIA, 80X210CM, EXCLUSIVE FECHADURA, FIXAÇÃO COM PREENCHIMENTO PARCIAL DE ESPUMA EXPANSIVA - FORNECIMENTO E INSTALAÇÃO. AF_12/2019</t>
        </is>
      </c>
      <c r="E154" s="18" t="inlineStr">
        <is>
          <t>UN</t>
        </is>
      </c>
      <c r="F154" s="19" t="n">
        <v>26.0</v>
      </c>
      <c r="G154" s="20" t="n">
        <v>780.07</v>
      </c>
      <c r="H154" s="20" t="str">
        <f>TRUNC(G154 * (1 + 29.07 / 100), 2)</f>
      </c>
      <c r="I154" s="20" t="str">
        <f>TRUNC(F154 * h154, 2)</f>
      </c>
      <c r="J154" s="21" t="str">
        <f>i154 / 3372490.28</f>
      </c>
    </row>
    <row customHeight="1" ht="39" r="155">
      <c r="A155" s="17" t="inlineStr">
        <is>
          <t> 08.02 </t>
        </is>
      </c>
      <c r="B155" s="19" t="inlineStr">
        <is>
          <t> 90830 </t>
        </is>
      </c>
      <c r="C155" s="17" t="inlineStr">
        <is>
          <t>SINAPI</t>
        </is>
      </c>
      <c r="D155" s="17" t="inlineStr">
        <is>
          <t>FECHADURA DE EMBUTIR COM CILINDRO, EXTERNA, COMPLETA, ACABAMENTO PADRÃO MÉDIO, INCLUSO EXECUÇÃO DE FURO - FORNECIMENTO E INSTALAÇÃO. AF_12/2019</t>
        </is>
      </c>
      <c r="E155" s="18" t="inlineStr">
        <is>
          <t>UN</t>
        </is>
      </c>
      <c r="F155" s="19" t="n">
        <v>26.0</v>
      </c>
      <c r="G155" s="20" t="n">
        <v>187.94</v>
      </c>
      <c r="H155" s="20" t="str">
        <f>TRUNC(G155 * (1 + 29.07 / 100), 2)</f>
      </c>
      <c r="I155" s="20" t="str">
        <f>TRUNC(F155 * h155, 2)</f>
      </c>
      <c r="J155" s="21" t="str">
        <f>i155 / 3372490.28</f>
      </c>
    </row>
    <row customHeight="1" ht="65" r="156">
      <c r="A156" s="17" t="inlineStr">
        <is>
          <t> 08.03 </t>
        </is>
      </c>
      <c r="B156" s="19" t="inlineStr">
        <is>
          <t> 99837 </t>
        </is>
      </c>
      <c r="C156" s="17" t="inlineStr">
        <is>
          <t>SINAPI</t>
        </is>
      </c>
      <c r="D156" s="17" t="inlineStr">
        <is>
          <t>GUARDA-CORPO DE AÇO GALVANIZADO DE 1,10M, MONTANTES TUBULARES DE 1.1/4" ESPAÇADOS DE 1,20M, TRAVESSA SUPERIOR DE 1.1/2", GRADIL FORMADO POR TUBOS HORIZONTAIS DE 1" E VERTICAIS DE 3/4", FIXADO COM CHUMBADOR MECÂNICO. AF_04/2019_PS</t>
        </is>
      </c>
      <c r="E156" s="18" t="inlineStr">
        <is>
          <t>M</t>
        </is>
      </c>
      <c r="F156" s="19" t="n">
        <v>58.8</v>
      </c>
      <c r="G156" s="20" t="n">
        <v>619.35</v>
      </c>
      <c r="H156" s="20" t="str">
        <f>TRUNC(G156 * (1 + 29.07 / 100), 2)</f>
      </c>
      <c r="I156" s="20" t="str">
        <f>TRUNC(F156 * h156, 2)</f>
      </c>
      <c r="J156" s="21" t="str">
        <f>i156 / 3372490.28</f>
      </c>
    </row>
    <row customHeight="1" ht="65" r="157">
      <c r="A157" s="17" t="inlineStr">
        <is>
          <t> 08.04 </t>
        </is>
      </c>
      <c r="B157" s="19" t="inlineStr">
        <is>
          <t> 94580 </t>
        </is>
      </c>
      <c r="C157" s="17" t="inlineStr">
        <is>
          <t>SINAPI</t>
        </is>
      </c>
      <c r="D157" s="17" t="inlineStr">
        <is>
          <t>JANELA DE ALUMÍNIO DE CORRER COM 6 FOLHAS (2 VENEZIANAS FIXAS, 2 VENEZIANAS DE CORRER E 2 PARA VIDRO), COM VIDROS, BATENTE, ACABAMENTO COM ACETATO OU BRILHANTE E FERRAGENS. EXCLUSIVE ALIZAR E CONTRAMARCO. FORNECIMENTO E INSTALAÇÃO. AF_12/2019</t>
        </is>
      </c>
      <c r="E157" s="18" t="inlineStr">
        <is>
          <t>m²</t>
        </is>
      </c>
      <c r="F157" s="19" t="n">
        <v>95.0</v>
      </c>
      <c r="G157" s="20" t="n">
        <v>369.53</v>
      </c>
      <c r="H157" s="20" t="str">
        <f>TRUNC(G157 * (1 + 29.07 / 100), 2)</f>
      </c>
      <c r="I157" s="20" t="str">
        <f>TRUNC(F157 * h157, 2)</f>
      </c>
      <c r="J157" s="21" t="str">
        <f>i157 / 3372490.28</f>
      </c>
    </row>
    <row customHeight="1" ht="39" r="158">
      <c r="A158" s="17" t="inlineStr">
        <is>
          <t> 08.05 </t>
        </is>
      </c>
      <c r="B158" s="19" t="inlineStr">
        <is>
          <t> 102185 </t>
        </is>
      </c>
      <c r="C158" s="17" t="inlineStr">
        <is>
          <t>SINAPI</t>
        </is>
      </c>
      <c r="D158" s="17" t="inlineStr">
        <is>
          <t>PORTA DE ABRIR COM MOLA HIDRÁULICA, EM VIDRO TEMPERADO, 2 FOLHAS DE 90X210 CM, ESPESSURA DD 10MM, INCLUSIVE ACESSÓRIOS. AF_01/2021</t>
        </is>
      </c>
      <c r="E158" s="18" t="inlineStr">
        <is>
          <t>UN</t>
        </is>
      </c>
      <c r="F158" s="19" t="n">
        <v>3.0</v>
      </c>
      <c r="G158" s="20" t="n">
        <v>4485.62</v>
      </c>
      <c r="H158" s="20" t="str">
        <f>TRUNC(G158 * (1 + 29.07 / 100), 2)</f>
      </c>
      <c r="I158" s="20" t="str">
        <f>TRUNC(F158 * h158, 2)</f>
      </c>
      <c r="J158" s="21" t="str">
        <f>i158 / 3372490.28</f>
      </c>
    </row>
    <row customHeight="1" ht="39" r="159">
      <c r="A159" s="17" t="inlineStr">
        <is>
          <t> 08.06 </t>
        </is>
      </c>
      <c r="B159" s="19" t="inlineStr">
        <is>
          <t> 94569 </t>
        </is>
      </c>
      <c r="C159" s="17" t="inlineStr">
        <is>
          <t>SINAPI</t>
        </is>
      </c>
      <c r="D159" s="17" t="inlineStr">
        <is>
          <t>JANELA DE ALUMÍNIO TIPO MAXIM-AR, COM VIDROS, BATENTE E FERRAGENS. EXCLUSIVE ALIZAR, ACABAMENTO E CONTRAMARCO. FORNECIMENTO E INSTALAÇÃO. AF_12/2019</t>
        </is>
      </c>
      <c r="E159" s="18" t="inlineStr">
        <is>
          <t>m²</t>
        </is>
      </c>
      <c r="F159" s="19" t="n">
        <v>25.5</v>
      </c>
      <c r="G159" s="20" t="n">
        <v>460.32</v>
      </c>
      <c r="H159" s="20" t="str">
        <f>TRUNC(G159 * (1 + 29.07 / 100), 2)</f>
      </c>
      <c r="I159" s="20" t="str">
        <f>TRUNC(F159 * h159, 2)</f>
      </c>
      <c r="J159" s="21" t="str">
        <f>i159 / 3372490.28</f>
      </c>
    </row>
    <row customHeight="1" ht="39" r="160">
      <c r="A160" s="17" t="inlineStr">
        <is>
          <t> 08.07 </t>
        </is>
      </c>
      <c r="B160" s="19" t="inlineStr">
        <is>
          <t> 100674 </t>
        </is>
      </c>
      <c r="C160" s="17" t="inlineStr">
        <is>
          <t>SINAPI</t>
        </is>
      </c>
      <c r="D160" s="17" t="inlineStr">
        <is>
          <t>JANELA FIXA DE ALUMÍNIO PARA VIDRO, COM VIDRO, BATENTE E FERRAGENS. EXCLUSIVE ACABAMENTO, ALIZAR E CONTRAMARCO. FORNECIMENTO E INSTALAÇÃO. AF_12/2019</t>
        </is>
      </c>
      <c r="E160" s="18" t="inlineStr">
        <is>
          <t>m²</t>
        </is>
      </c>
      <c r="F160" s="19" t="n">
        <v>7.65</v>
      </c>
      <c r="G160" s="20" t="n">
        <v>470.59</v>
      </c>
      <c r="H160" s="20" t="str">
        <f>TRUNC(G160 * (1 + 29.07 / 100), 2)</f>
      </c>
      <c r="I160" s="20" t="str">
        <f>TRUNC(F160 * h160, 2)</f>
      </c>
      <c r="J160" s="21" t="str">
        <f>i160 / 3372490.28</f>
      </c>
    </row>
    <row customHeight="1" ht="26" r="161">
      <c r="A161" s="17" t="inlineStr">
        <is>
          <t> 08.08 </t>
        </is>
      </c>
      <c r="B161" s="19" t="inlineStr">
        <is>
          <t> 94589 </t>
        </is>
      </c>
      <c r="C161" s="17" t="inlineStr">
        <is>
          <t>SINAPI</t>
        </is>
      </c>
      <c r="D161" s="17" t="inlineStr">
        <is>
          <t>CONTRAMARCO DE ALUMÍNIO, FIXAÇÃO COM ARGAMASSA - FORNECIMENTO E INSTALAÇÃO. AF_12/2019</t>
        </is>
      </c>
      <c r="E161" s="18" t="inlineStr">
        <is>
          <t>M</t>
        </is>
      </c>
      <c r="F161" s="19" t="n">
        <v>278.5</v>
      </c>
      <c r="G161" s="20" t="n">
        <v>19.63</v>
      </c>
      <c r="H161" s="20" t="str">
        <f>TRUNC(G161 * (1 + 29.07 / 100), 2)</f>
      </c>
      <c r="I161" s="20" t="str">
        <f>TRUNC(F161 * h161, 2)</f>
      </c>
      <c r="J161" s="21" t="str">
        <f>i161 / 3372490.28</f>
      </c>
    </row>
    <row customHeight="1" ht="39" r="162">
      <c r="A162" s="17" t="inlineStr">
        <is>
          <t> 08.09 </t>
        </is>
      </c>
      <c r="B162" s="19" t="inlineStr">
        <is>
          <t> 91338 </t>
        </is>
      </c>
      <c r="C162" s="17" t="inlineStr">
        <is>
          <t>SINAPI</t>
        </is>
      </c>
      <c r="D162" s="17" t="inlineStr">
        <is>
          <t>PORTA DE ALUMÍNIO DE ABRIR COM LAMBRI, COM GUARNIÇÃO, FIXAÇÃO COM PARAFUSOS - FORNECIMENTO E INSTALAÇÃO. AF_12/2019</t>
        </is>
      </c>
      <c r="E162" s="18" t="inlineStr">
        <is>
          <t>m²</t>
        </is>
      </c>
      <c r="F162" s="19" t="n">
        <v>4.2</v>
      </c>
      <c r="G162" s="20" t="n">
        <v>558.52</v>
      </c>
      <c r="H162" s="20" t="str">
        <f>TRUNC(G162 * (1 + 29.07 / 100), 2)</f>
      </c>
      <c r="I162" s="20" t="str">
        <f>TRUNC(F162 * h162, 2)</f>
      </c>
      <c r="J162" s="21" t="str">
        <f>i162 / 3372490.28</f>
      </c>
    </row>
    <row customHeight="1" ht="39" r="163">
      <c r="A163" s="17" t="inlineStr">
        <is>
          <t> 08.10 </t>
        </is>
      </c>
      <c r="B163" s="19" t="inlineStr">
        <is>
          <t> ITA0071 </t>
        </is>
      </c>
      <c r="C163" s="17" t="inlineStr">
        <is>
          <t>Próprio</t>
        </is>
      </c>
      <c r="D163" s="17" t="inlineStr">
        <is>
          <t>PORTA DE ALUMÍNIO LISO BRANCO DE ABRIR , COM GUARNIÇÃO, FIXAÇÃO COM PARAFUSOS - FORNECIMENTO E INSTALAÇÃO.</t>
        </is>
      </c>
      <c r="E163" s="18" t="inlineStr">
        <is>
          <t>m²</t>
        </is>
      </c>
      <c r="F163" s="19" t="n">
        <v>10.08</v>
      </c>
      <c r="G163" s="20" t="n">
        <v>465.52</v>
      </c>
      <c r="H163" s="20" t="str">
        <f>TRUNC(G163 * (1 + 29.07 / 100), 2)</f>
      </c>
      <c r="I163" s="20" t="str">
        <f>TRUNC(F163 * h163, 2)</f>
      </c>
      <c r="J163" s="21" t="str">
        <f>i163 / 3372490.28</f>
      </c>
    </row>
    <row customHeight="1" ht="26" r="164">
      <c r="A164" s="17" t="inlineStr">
        <is>
          <t> 08.11 </t>
        </is>
      </c>
      <c r="B164" s="19" t="inlineStr">
        <is>
          <t> 102176 </t>
        </is>
      </c>
      <c r="C164" s="17" t="inlineStr">
        <is>
          <t>SINAPI</t>
        </is>
      </c>
      <c r="D164" s="17" t="inlineStr">
        <is>
          <t>INSTALAÇÃO DE VIDRO LAMINADO, E = 8 MM (4+4), ENCAIXADO EM PERFIL U. AF_01/2021_PS</t>
        </is>
      </c>
      <c r="E164" s="18" t="inlineStr">
        <is>
          <t>m²</t>
        </is>
      </c>
      <c r="F164" s="19" t="n">
        <v>97.25</v>
      </c>
      <c r="G164" s="20" t="n">
        <v>1208.16</v>
      </c>
      <c r="H164" s="20" t="str">
        <f>TRUNC(G164 * (1 + 29.07 / 100), 2)</f>
      </c>
      <c r="I164" s="20" t="str">
        <f>TRUNC(F164 * h164, 2)</f>
      </c>
      <c r="J164" s="21" t="str">
        <f>i164 / 3372490.28</f>
      </c>
    </row>
    <row customHeight="1" ht="65" r="165">
      <c r="A165" s="17" t="inlineStr">
        <is>
          <t> 08.12 </t>
        </is>
      </c>
      <c r="B165" s="19" t="inlineStr">
        <is>
          <t> ITA0064 </t>
        </is>
      </c>
      <c r="C165" s="17" t="inlineStr">
        <is>
          <t>Próprio</t>
        </is>
      </c>
      <c r="D165" s="17" t="inlineStr">
        <is>
          <t>CORRIMÃO DUPLO EM TUBO DE FERRO GALVANIZADO 1 1/2", COM CHUMBADORES PARA FIXAÇÃO EM ALVENARIA - FORNECIMENTO, INSTALAÇÃO, PINTURA DE BASE (OXIBAR DAL 535 BT 0527) E PINTURA PULVERIZADA DE ACABAMENTO (ESMALTE SINTÉTICO - DUAS DEMÃOS)</t>
        </is>
      </c>
      <c r="E165" s="18" t="inlineStr">
        <is>
          <t>M</t>
        </is>
      </c>
      <c r="F165" s="19" t="n">
        <v>16.6</v>
      </c>
      <c r="G165" s="20" t="n">
        <v>225.17</v>
      </c>
      <c r="H165" s="20" t="str">
        <f>TRUNC(G165 * (1 + 29.07 / 100), 2)</f>
      </c>
      <c r="I165" s="20" t="str">
        <f>TRUNC(F165 * h165, 2)</f>
      </c>
      <c r="J165" s="21" t="str">
        <f>i165 / 3372490.28</f>
      </c>
    </row>
    <row customHeight="1" ht="24" r="166">
      <c r="A166" s="17" t="inlineStr">
        <is>
          <t> 08.12 </t>
        </is>
      </c>
      <c r="B166" s="19" t="inlineStr">
        <is>
          <t> SEMAI 04.01.063 </t>
        </is>
      </c>
      <c r="C166" s="17" t="inlineStr">
        <is>
          <t>Próprio</t>
        </is>
      </c>
      <c r="D166" s="17" t="inlineStr">
        <is>
          <t>PELÍCULA INSULFILM APLICADA OU SIMILAR</t>
        </is>
      </c>
      <c r="E166" s="18" t="inlineStr">
        <is>
          <t>m²</t>
        </is>
      </c>
      <c r="F166" s="19" t="n">
        <v>97.25</v>
      </c>
      <c r="G166" s="20" t="n">
        <v>41.19</v>
      </c>
      <c r="H166" s="20" t="str">
        <f>TRUNC(G166 * (1 + 29.07 / 100), 2)</f>
      </c>
      <c r="I166" s="20" t="str">
        <f>TRUNC(F166 * h166, 2)</f>
      </c>
      <c r="J166" s="21" t="str">
        <f>i166 / 3372490.28</f>
      </c>
    </row>
    <row customHeight="1" ht="65" r="167">
      <c r="A167" s="17" t="inlineStr">
        <is>
          <t> 08.13 </t>
        </is>
      </c>
      <c r="B167" s="19" t="inlineStr">
        <is>
          <t> ITA0065 </t>
        </is>
      </c>
      <c r="C167" s="17" t="inlineStr">
        <is>
          <t>Próprio</t>
        </is>
      </c>
      <c r="D167" s="17" t="inlineStr">
        <is>
          <t>CORRIMÃO DUPLO EM TUBO DE FERRO GALVANIZADO 1 1/2", FIXAÇÃO EM TUBO AÇO 1 1/1" A CADA 1,20M  - FORNECIMENTO, INSTALAÇÃO, PINTURA DE BASE (OXIBAR DAL 535 BT 0527) E PINTURA PULVERIZADA DE ACABAMENTO (ESMALTE SINTÉTICO - DUAS DEMÃOS)</t>
        </is>
      </c>
      <c r="E167" s="18" t="inlineStr">
        <is>
          <t>M</t>
        </is>
      </c>
      <c r="F167" s="19" t="n">
        <v>41.3</v>
      </c>
      <c r="G167" s="20" t="n">
        <v>225.46</v>
      </c>
      <c r="H167" s="20" t="str">
        <f>TRUNC(G167 * (1 + 29.07 / 100), 2)</f>
      </c>
      <c r="I167" s="20" t="str">
        <f>TRUNC(F167 * h167, 2)</f>
      </c>
      <c r="J167" s="21" t="str">
        <f>i167 / 3372490.28</f>
      </c>
    </row>
    <row customHeight="1" ht="26" r="168">
      <c r="A168" s="17" t="inlineStr">
        <is>
          <t> 08.14 </t>
        </is>
      </c>
      <c r="B168" s="19" t="inlineStr">
        <is>
          <t> SEMAP 04.01.046 </t>
        </is>
      </c>
      <c r="C168" s="17" t="inlineStr">
        <is>
          <t>Próprio</t>
        </is>
      </c>
      <c r="D168" s="17" t="inlineStr">
        <is>
          <t>CHAPA DE PROTEÇÃO DE PORTA EM AÇO INOX (INTERNA E EXTERNA)- FORNECIMENTO E INSTALAÇÃO - UND</t>
        </is>
      </c>
      <c r="E168" s="18" t="inlineStr">
        <is>
          <t>UND</t>
        </is>
      </c>
      <c r="F168" s="19" t="n">
        <v>12.0</v>
      </c>
      <c r="G168" s="20" t="n">
        <v>217.01</v>
      </c>
      <c r="H168" s="20" t="str">
        <f>TRUNC(G168 * (1 + 29.07 / 100), 2)</f>
      </c>
      <c r="I168" s="20" t="str">
        <f>TRUNC(F168 * h168, 2)</f>
      </c>
      <c r="J168" s="21" t="str">
        <f>i168 / 3372490.28</f>
      </c>
    </row>
    <row customHeight="1" ht="39" r="169">
      <c r="A169" s="17" t="inlineStr">
        <is>
          <t> 08.15 </t>
        </is>
      </c>
      <c r="B169" s="19" t="inlineStr">
        <is>
          <t> 100866 </t>
        </is>
      </c>
      <c r="C169" s="17" t="inlineStr">
        <is>
          <t>SINAPI</t>
        </is>
      </c>
      <c r="D169" s="17" t="inlineStr">
        <is>
          <t>BARRA DE APOIO RETA, EM ACO INOX POLIDO, COMPRIMENTO 60CM, FIXADA NA PORTA - FORNECIMENTO E INSTALAÇÃO. AF_01/2020</t>
        </is>
      </c>
      <c r="E169" s="18" t="inlineStr">
        <is>
          <t>UN</t>
        </is>
      </c>
      <c r="F169" s="19" t="n">
        <v>6.0</v>
      </c>
      <c r="G169" s="20" t="n">
        <v>292.96</v>
      </c>
      <c r="H169" s="20" t="str">
        <f>TRUNC(G169 * (1 + 29.07 / 100), 2)</f>
      </c>
      <c r="I169" s="20" t="str">
        <f>TRUNC(F169 * h169, 2)</f>
      </c>
      <c r="J169" s="21" t="str">
        <f>i169 / 3372490.28</f>
      </c>
    </row>
    <row customHeight="1" ht="39" r="170">
      <c r="A170" s="17" t="inlineStr">
        <is>
          <t> 08.16 </t>
        </is>
      </c>
      <c r="B170" s="19" t="inlineStr">
        <is>
          <t> 101965 </t>
        </is>
      </c>
      <c r="C170" s="17" t="inlineStr">
        <is>
          <t>SINAPI</t>
        </is>
      </c>
      <c r="D170" s="17" t="inlineStr">
        <is>
          <t>PEITORIL LINEAR EM GRANITO OU MÁRMORE, L = 15CM, COMPRIMENTO DE ATÉ 2M, ASSENTADO COM ARGAMASSA 1:6 COM ADITIVO. AF_11/2020</t>
        </is>
      </c>
      <c r="E170" s="18" t="inlineStr">
        <is>
          <t>M</t>
        </is>
      </c>
      <c r="F170" s="19" t="n">
        <v>80.0</v>
      </c>
      <c r="G170" s="20" t="n">
        <v>100.61</v>
      </c>
      <c r="H170" s="20" t="str">
        <f>TRUNC(G170 * (1 + 29.07 / 100), 2)</f>
      </c>
      <c r="I170" s="20" t="str">
        <f>TRUNC(F170 * h170, 2)</f>
      </c>
      <c r="J170" s="21" t="str">
        <f>i170 / 3372490.28</f>
      </c>
    </row>
    <row customHeight="1" ht="24" r="171">
      <c r="A171" s="9" t="inlineStr">
        <is>
          <t> 09 </t>
        </is>
      </c>
      <c r="B171" s="9"/>
      <c r="C171" s="9"/>
      <c r="D171" s="9" t="inlineStr">
        <is>
          <t>INSTALAÇÕES HIDRO SANITARIAS E PLUVIAIS</t>
        </is>
      </c>
      <c r="E171" s="9"/>
      <c r="F171" s="11"/>
      <c r="G171" s="9"/>
      <c r="H171" s="9"/>
      <c r="I171" s="12" t="n">
        <v>117588.68</v>
      </c>
      <c r="J171" s="13" t="str">
        <f>i171 / 3372490.28</f>
      </c>
    </row>
    <row customHeight="1" ht="24" r="172">
      <c r="A172" s="9" t="inlineStr">
        <is>
          <t> 09.01 </t>
        </is>
      </c>
      <c r="B172" s="9"/>
      <c r="C172" s="9"/>
      <c r="D172" s="9" t="inlineStr">
        <is>
          <t>INSTALAÇÕES HIDRAULICA</t>
        </is>
      </c>
      <c r="E172" s="9"/>
      <c r="F172" s="11"/>
      <c r="G172" s="9"/>
      <c r="H172" s="9"/>
      <c r="I172" s="12" t="n">
        <v>8432.83</v>
      </c>
      <c r="J172" s="13" t="str">
        <f>i172 / 3372490.28</f>
      </c>
    </row>
    <row customHeight="1" ht="39" r="173">
      <c r="A173" s="17" t="inlineStr">
        <is>
          <t> 09.01.1 </t>
        </is>
      </c>
      <c r="B173" s="19" t="inlineStr">
        <is>
          <t> 89401 </t>
        </is>
      </c>
      <c r="C173" s="17" t="inlineStr">
        <is>
          <t>SINAPI</t>
        </is>
      </c>
      <c r="D173" s="17" t="inlineStr">
        <is>
          <t>TUBO, PVC, SOLDÁVEL, DN 20MM, INSTALADO EM RAMAL DE DISTRIBUIÇÃO DE ÁGUA - FORNECIMENTO E INSTALAÇÃO. AF_06/2022</t>
        </is>
      </c>
      <c r="E173" s="18" t="inlineStr">
        <is>
          <t>M</t>
        </is>
      </c>
      <c r="F173" s="19" t="n">
        <v>28.8</v>
      </c>
      <c r="G173" s="20" t="n">
        <v>9.89</v>
      </c>
      <c r="H173" s="20" t="str">
        <f>TRUNC(G173 * (1 + 29.07 / 100), 2)</f>
      </c>
      <c r="I173" s="20" t="str">
        <f>TRUNC(F173 * h173, 2)</f>
      </c>
      <c r="J173" s="21" t="str">
        <f>i173 / 3372490.28</f>
      </c>
    </row>
    <row customHeight="1" ht="39" r="174">
      <c r="A174" s="17" t="inlineStr">
        <is>
          <t> 09.01.2 </t>
        </is>
      </c>
      <c r="B174" s="19" t="inlineStr">
        <is>
          <t> 89402 </t>
        </is>
      </c>
      <c r="C174" s="17" t="inlineStr">
        <is>
          <t>SINAPI</t>
        </is>
      </c>
      <c r="D174" s="17" t="inlineStr">
        <is>
          <t>TUBO, PVC, SOLDÁVEL, DN 25MM, INSTALADO EM RAMAL DE DISTRIBUIÇÃO DE ÁGUA - FORNECIMENTO E INSTALAÇÃO. AF_06/2022</t>
        </is>
      </c>
      <c r="E174" s="18" t="inlineStr">
        <is>
          <t>M</t>
        </is>
      </c>
      <c r="F174" s="19" t="n">
        <v>31.0</v>
      </c>
      <c r="G174" s="20" t="n">
        <v>11.4</v>
      </c>
      <c r="H174" s="20" t="str">
        <f>TRUNC(G174 * (1 + 29.07 / 100), 2)</f>
      </c>
      <c r="I174" s="20" t="str">
        <f>TRUNC(F174 * h174, 2)</f>
      </c>
      <c r="J174" s="21" t="str">
        <f>i174 / 3372490.28</f>
      </c>
    </row>
    <row customHeight="1" ht="39" r="175">
      <c r="A175" s="17" t="inlineStr">
        <is>
          <t> 09.01.3 </t>
        </is>
      </c>
      <c r="B175" s="19" t="inlineStr">
        <is>
          <t> 89403 </t>
        </is>
      </c>
      <c r="C175" s="17" t="inlineStr">
        <is>
          <t>SINAPI</t>
        </is>
      </c>
      <c r="D175" s="17" t="inlineStr">
        <is>
          <t>TUBO, PVC, SOLDÁVEL, DN 32MM, INSTALADO EM RAMAL DE DISTRIBUIÇÃO DE ÁGUA - FORNECIMENTO E INSTALAÇÃO. AF_06/2022</t>
        </is>
      </c>
      <c r="E175" s="18" t="inlineStr">
        <is>
          <t>M</t>
        </is>
      </c>
      <c r="F175" s="19" t="n">
        <v>109.0</v>
      </c>
      <c r="G175" s="20" t="n">
        <v>16.94</v>
      </c>
      <c r="H175" s="20" t="str">
        <f>TRUNC(G175 * (1 + 29.07 / 100), 2)</f>
      </c>
      <c r="I175" s="20" t="str">
        <f>TRUNC(F175 * h175, 2)</f>
      </c>
      <c r="J175" s="21" t="str">
        <f>i175 / 3372490.28</f>
      </c>
    </row>
    <row customHeight="1" ht="26" r="176">
      <c r="A176" s="17" t="inlineStr">
        <is>
          <t> 09.01.4 </t>
        </is>
      </c>
      <c r="B176" s="19" t="inlineStr">
        <is>
          <t> 89448 </t>
        </is>
      </c>
      <c r="C176" s="17" t="inlineStr">
        <is>
          <t>SINAPI</t>
        </is>
      </c>
      <c r="D176" s="17" t="inlineStr">
        <is>
          <t>TUBO, PVC, SOLDÁVEL, DN 40MM, INSTALADO EM PRUMADA DE ÁGUA - FORNECIMENTO E INSTALAÇÃO. AF_06/2022</t>
        </is>
      </c>
      <c r="E176" s="18" t="inlineStr">
        <is>
          <t>M</t>
        </is>
      </c>
      <c r="F176" s="19" t="n">
        <v>6.0</v>
      </c>
      <c r="G176" s="20" t="n">
        <v>13.19</v>
      </c>
      <c r="H176" s="20" t="str">
        <f>TRUNC(G176 * (1 + 29.07 / 100), 2)</f>
      </c>
      <c r="I176" s="20" t="str">
        <f>TRUNC(F176 * h176, 2)</f>
      </c>
      <c r="J176" s="21" t="str">
        <f>i176 / 3372490.28</f>
      </c>
    </row>
    <row customHeight="1" ht="39" r="177">
      <c r="A177" s="17" t="inlineStr">
        <is>
          <t> 09.01.5 </t>
        </is>
      </c>
      <c r="B177" s="19" t="inlineStr">
        <is>
          <t> 89419 </t>
        </is>
      </c>
      <c r="C177" s="17" t="inlineStr">
        <is>
          <t>SINAPI</t>
        </is>
      </c>
      <c r="D177" s="17" t="inlineStr">
        <is>
          <t>LUVA DE REDUÇÃO, PVC, SOLDÁVEL, DN 25MM X 20MM, INSTALADO EM RAMAL DE DISTRIBUIÇÃO DE ÁGUA - FORNECIMENTO E INSTALAÇÃO. AF_06/2022</t>
        </is>
      </c>
      <c r="E177" s="18" t="inlineStr">
        <is>
          <t>UN</t>
        </is>
      </c>
      <c r="F177" s="19" t="n">
        <v>6.0</v>
      </c>
      <c r="G177" s="20" t="n">
        <v>6.17</v>
      </c>
      <c r="H177" s="20" t="str">
        <f>TRUNC(G177 * (1 + 29.07 / 100), 2)</f>
      </c>
      <c r="I177" s="20" t="str">
        <f>TRUNC(F177 * h177, 2)</f>
      </c>
      <c r="J177" s="21" t="str">
        <f>i177 / 3372490.28</f>
      </c>
    </row>
    <row customHeight="1" ht="39" r="178">
      <c r="A178" s="17" t="inlineStr">
        <is>
          <t> 09.01.6 </t>
        </is>
      </c>
      <c r="B178" s="19" t="inlineStr">
        <is>
          <t> 89426 </t>
        </is>
      </c>
      <c r="C178" s="17" t="inlineStr">
        <is>
          <t>SINAPI</t>
        </is>
      </c>
      <c r="D178" s="17" t="inlineStr">
        <is>
          <t>LUVA DE REDUÇÃO, PVC, SOLDÁVEL, DN 32MM X 25MM, INSTALADO EM RAMAL DE DISTRIBUIÇÃO DE ÁGUA - FORNECIMENTO E INSTALAÇÃO. AF_06/2022</t>
        </is>
      </c>
      <c r="E178" s="18" t="inlineStr">
        <is>
          <t>UN</t>
        </is>
      </c>
      <c r="F178" s="19" t="n">
        <v>10.0</v>
      </c>
      <c r="G178" s="20" t="n">
        <v>8.6</v>
      </c>
      <c r="H178" s="20" t="str">
        <f>TRUNC(G178 * (1 + 29.07 / 100), 2)</f>
      </c>
      <c r="I178" s="20" t="str">
        <f>TRUNC(F178 * h178, 2)</f>
      </c>
      <c r="J178" s="21" t="str">
        <f>i178 / 3372490.28</f>
      </c>
    </row>
    <row customHeight="1" ht="39" r="179">
      <c r="A179" s="17" t="inlineStr">
        <is>
          <t> 09.01.7 </t>
        </is>
      </c>
      <c r="B179" s="19" t="inlineStr">
        <is>
          <t> 103964 </t>
        </is>
      </c>
      <c r="C179" s="17" t="inlineStr">
        <is>
          <t>SINAPI</t>
        </is>
      </c>
      <c r="D179" s="17" t="inlineStr">
        <is>
          <t>BUCHA DE REDUÇÃO, LONGA, PVC, SOLDÁVEL, DN 40 X 25 MM, INSTALADO EM PRUMADA DE ÁGUA - FORNECIMENTO E INSTALAÇÃO. AF_06/2022</t>
        </is>
      </c>
      <c r="E179" s="18" t="inlineStr">
        <is>
          <t>UN</t>
        </is>
      </c>
      <c r="F179" s="19" t="n">
        <v>1.0</v>
      </c>
      <c r="G179" s="20" t="n">
        <v>7.11</v>
      </c>
      <c r="H179" s="20" t="str">
        <f>TRUNC(G179 * (1 + 29.07 / 100), 2)</f>
      </c>
      <c r="I179" s="20" t="str">
        <f>TRUNC(F179 * h179, 2)</f>
      </c>
      <c r="J179" s="21" t="str">
        <f>i179 / 3372490.28</f>
      </c>
    </row>
    <row customHeight="1" ht="39" r="180">
      <c r="A180" s="17" t="inlineStr">
        <is>
          <t> 09.01.8 </t>
        </is>
      </c>
      <c r="B180" s="19" t="inlineStr">
        <is>
          <t> 89404 </t>
        </is>
      </c>
      <c r="C180" s="17" t="inlineStr">
        <is>
          <t>SINAPI</t>
        </is>
      </c>
      <c r="D180" s="17" t="inlineStr">
        <is>
          <t>JOELHO 90 GRAUS, PVC, SOLDÁVEL, DN 20MM, INSTALADO EM RAMAL DE DISTRIBUIÇÃO DE ÁGUA - FORNECIMENTO E INSTALAÇÃO. AF_06/2022</t>
        </is>
      </c>
      <c r="E180" s="18" t="inlineStr">
        <is>
          <t>UN</t>
        </is>
      </c>
      <c r="F180" s="19" t="n">
        <v>3.0</v>
      </c>
      <c r="G180" s="20" t="n">
        <v>7.0</v>
      </c>
      <c r="H180" s="20" t="str">
        <f>TRUNC(G180 * (1 + 29.07 / 100), 2)</f>
      </c>
      <c r="I180" s="20" t="str">
        <f>TRUNC(F180 * h180, 2)</f>
      </c>
      <c r="J180" s="21" t="str">
        <f>i180 / 3372490.28</f>
      </c>
    </row>
    <row customHeight="1" ht="39" r="181">
      <c r="A181" s="17" t="inlineStr">
        <is>
          <t> 09.01.9 </t>
        </is>
      </c>
      <c r="B181" s="19" t="inlineStr">
        <is>
          <t> 89408 </t>
        </is>
      </c>
      <c r="C181" s="17" t="inlineStr">
        <is>
          <t>SINAPI</t>
        </is>
      </c>
      <c r="D181" s="17" t="inlineStr">
        <is>
          <t>JOELHO 90 GRAUS, PVC, SOLDÁVEL, DN 25MM, INSTALADO EM RAMAL DE DISTRIBUIÇÃO DE ÁGUA - FORNECIMENTO E INSTALAÇÃO. AF_06/2022</t>
        </is>
      </c>
      <c r="E181" s="18" t="inlineStr">
        <is>
          <t>UN</t>
        </is>
      </c>
      <c r="F181" s="19" t="n">
        <v>12.0</v>
      </c>
      <c r="G181" s="20" t="n">
        <v>8.31</v>
      </c>
      <c r="H181" s="20" t="str">
        <f>TRUNC(G181 * (1 + 29.07 / 100), 2)</f>
      </c>
      <c r="I181" s="20" t="str">
        <f>TRUNC(F181 * h181, 2)</f>
      </c>
      <c r="J181" s="21" t="str">
        <f>i181 / 3372490.28</f>
      </c>
    </row>
    <row customHeight="1" ht="39" r="182">
      <c r="A182" s="17" t="inlineStr">
        <is>
          <t> 09.01.10 </t>
        </is>
      </c>
      <c r="B182" s="19" t="inlineStr">
        <is>
          <t> 89413 </t>
        </is>
      </c>
      <c r="C182" s="17" t="inlineStr">
        <is>
          <t>SINAPI</t>
        </is>
      </c>
      <c r="D182" s="17" t="inlineStr">
        <is>
          <t>JOELHO 90 GRAUS, PVC, SOLDÁVEL, DN 32MM, INSTALADO EM RAMAL DE DISTRIBUIÇÃO DE ÁGUA - FORNECIMENTO E INSTALAÇÃO. AF_06/2022</t>
        </is>
      </c>
      <c r="E182" s="18" t="inlineStr">
        <is>
          <t>UN</t>
        </is>
      </c>
      <c r="F182" s="19" t="n">
        <v>7.0</v>
      </c>
      <c r="G182" s="20" t="n">
        <v>11.33</v>
      </c>
      <c r="H182" s="20" t="str">
        <f>TRUNC(G182 * (1 + 29.07 / 100), 2)</f>
      </c>
      <c r="I182" s="20" t="str">
        <f>TRUNC(F182 * h182, 2)</f>
      </c>
      <c r="J182" s="21" t="str">
        <f>i182 / 3372490.28</f>
      </c>
    </row>
    <row customHeight="1" ht="39" r="183">
      <c r="A183" s="17" t="inlineStr">
        <is>
          <t> 09.01.11 </t>
        </is>
      </c>
      <c r="B183" s="19" t="inlineStr">
        <is>
          <t> 89366 </t>
        </is>
      </c>
      <c r="C183" s="17" t="inlineStr">
        <is>
          <t>SINAPI</t>
        </is>
      </c>
      <c r="D183" s="17" t="inlineStr">
        <is>
          <t>JOELHO 90 GRAUS COM BUCHA DE LATÃO, PVC, SOLDÁVEL, DN 25MM, X 3/4  INSTALADO EM RAMAL OU SUB-RAMAL DE ÁGUA - FORNECIMENTO E INSTALAÇÃO. AF_06/2022</t>
        </is>
      </c>
      <c r="E183" s="18" t="inlineStr">
        <is>
          <t>UN</t>
        </is>
      </c>
      <c r="F183" s="19" t="n">
        <v>22.0</v>
      </c>
      <c r="G183" s="20" t="n">
        <v>14.32</v>
      </c>
      <c r="H183" s="20" t="str">
        <f>TRUNC(G183 * (1 + 29.07 / 100), 2)</f>
      </c>
      <c r="I183" s="20" t="str">
        <f>TRUNC(F183 * h183, 2)</f>
      </c>
      <c r="J183" s="21" t="str">
        <f>i183 / 3372490.28</f>
      </c>
    </row>
    <row customHeight="1" ht="52" r="184">
      <c r="A184" s="17" t="inlineStr">
        <is>
          <t> 09.01.12 </t>
        </is>
      </c>
      <c r="B184" s="19" t="inlineStr">
        <is>
          <t> 89396 </t>
        </is>
      </c>
      <c r="C184" s="17" t="inlineStr">
        <is>
          <t>SINAPI</t>
        </is>
      </c>
      <c r="D184" s="17" t="inlineStr">
        <is>
          <t>TÊ COM BUCHA DE LATÃO NA BOLSA CENTRAL, PVC, SOLDÁVEL, DN 25MM X 1/2 , INSTALADO EM RAMAL OU SUB-RAMAL DE ÁGUA - FORNECIMENTO E INSTALAÇÃO. AF_06/2022</t>
        </is>
      </c>
      <c r="E184" s="18" t="inlineStr">
        <is>
          <t>UN</t>
        </is>
      </c>
      <c r="F184" s="19" t="n">
        <v>6.0</v>
      </c>
      <c r="G184" s="20" t="n">
        <v>17.98</v>
      </c>
      <c r="H184" s="20" t="str">
        <f>TRUNC(G184 * (1 + 29.07 / 100), 2)</f>
      </c>
      <c r="I184" s="20" t="str">
        <f>TRUNC(F184 * h184, 2)</f>
      </c>
      <c r="J184" s="21" t="str">
        <f>i184 / 3372490.28</f>
      </c>
    </row>
    <row customHeight="1" ht="52" r="185">
      <c r="A185" s="17" t="inlineStr">
        <is>
          <t> 09.01.13 </t>
        </is>
      </c>
      <c r="B185" s="19" t="inlineStr">
        <is>
          <t> 89436 </t>
        </is>
      </c>
      <c r="C185" s="17" t="inlineStr">
        <is>
          <t>SINAPI</t>
        </is>
      </c>
      <c r="D185" s="17" t="inlineStr">
        <is>
          <t>ADAPTADOR CURTO COM BOLSA E ROSCA PARA REGISTRO, PVC, SOLDÁVEL, DN 32MM X 1 , INSTALADO EM RAMAL DE DISTRIBUIÇÃO DE ÁGUA - FORNECIMENTO E INSTALAÇÃO. AF_06/2022</t>
        </is>
      </c>
      <c r="E185" s="18" t="inlineStr">
        <is>
          <t>UN</t>
        </is>
      </c>
      <c r="F185" s="19" t="n">
        <v>20.0</v>
      </c>
      <c r="G185" s="20" t="n">
        <v>7.55</v>
      </c>
      <c r="H185" s="20" t="str">
        <f>TRUNC(G185 * (1 + 29.07 / 100), 2)</f>
      </c>
      <c r="I185" s="20" t="str">
        <f>TRUNC(F185 * h185, 2)</f>
      </c>
      <c r="J185" s="21" t="str">
        <f>i185 / 3372490.28</f>
      </c>
    </row>
    <row customHeight="1" ht="39" r="186">
      <c r="A186" s="17" t="inlineStr">
        <is>
          <t> 09.01.14 </t>
        </is>
      </c>
      <c r="B186" s="19" t="inlineStr">
        <is>
          <t> 89427 </t>
        </is>
      </c>
      <c r="C186" s="17" t="inlineStr">
        <is>
          <t>SINAPI</t>
        </is>
      </c>
      <c r="D186" s="17" t="inlineStr">
        <is>
          <t>LUVA COM BUCHA DE LATÃO, PVC, SOLDÁVEL, DN 25MM X 3/4 , INSTALADO EM RAMAL DE DISTRIBUIÇÃO DE ÁGUA - FORNECIMENTO E INSTALAÇÃO. AF_06/2022</t>
        </is>
      </c>
      <c r="E186" s="18" t="inlineStr">
        <is>
          <t>UN</t>
        </is>
      </c>
      <c r="F186" s="19" t="n">
        <v>2.0</v>
      </c>
      <c r="G186" s="20" t="n">
        <v>10.3</v>
      </c>
      <c r="H186" s="20" t="str">
        <f>TRUNC(G186 * (1 + 29.07 / 100), 2)</f>
      </c>
      <c r="I186" s="20" t="str">
        <f>TRUNC(F186 * h186, 2)</f>
      </c>
      <c r="J186" s="21" t="str">
        <f>i186 / 3372490.28</f>
      </c>
    </row>
    <row customHeight="1" ht="39" r="187">
      <c r="A187" s="17" t="inlineStr">
        <is>
          <t> 09.01.15 </t>
        </is>
      </c>
      <c r="B187" s="19" t="inlineStr">
        <is>
          <t> SEMAP 03.00.017 </t>
        </is>
      </c>
      <c r="C187" s="17" t="inlineStr">
        <is>
          <t>Próprio</t>
        </is>
      </c>
      <c r="D187" s="17" t="inlineStr">
        <is>
          <t>JOELHO 90 GRAUS COM BUCHA DE LATÃO, PVC, SOLDÁVEL, DN 20MM X 1/2", INSTALADO EM RAMAL OU SUB-RAMAL DE ÁGUA - FORNECIMENTO E INSTALAÇÃO.</t>
        </is>
      </c>
      <c r="E187" s="18" t="inlineStr">
        <is>
          <t>UND</t>
        </is>
      </c>
      <c r="F187" s="19" t="n">
        <v>26.0</v>
      </c>
      <c r="G187" s="20" t="n">
        <v>13.8</v>
      </c>
      <c r="H187" s="20" t="str">
        <f>TRUNC(G187 * (1 + 29.07 / 100), 2)</f>
      </c>
      <c r="I187" s="20" t="str">
        <f>TRUNC(F187 * h187, 2)</f>
      </c>
      <c r="J187" s="21" t="str">
        <f>i187 / 3372490.28</f>
      </c>
    </row>
    <row customHeight="1" ht="39" r="188">
      <c r="A188" s="17" t="inlineStr">
        <is>
          <t> 09.01.16 </t>
        </is>
      </c>
      <c r="B188" s="19" t="inlineStr">
        <is>
          <t> 90443 </t>
        </is>
      </c>
      <c r="C188" s="17" t="inlineStr">
        <is>
          <t>SINAPI</t>
        </is>
      </c>
      <c r="D188" s="17" t="inlineStr">
        <is>
          <t>RASGO LINEAR MANUAL EM ALVENARIA, PARA RAMAIS/ DISTRIBUIÇÃO DE INSTALAÇÕES HIDRÁULICAS, DIÂMETROS MENORES OU IGUAIS A 40 MM. AF_09/2023</t>
        </is>
      </c>
      <c r="E188" s="18" t="inlineStr">
        <is>
          <t>M</t>
        </is>
      </c>
      <c r="F188" s="19" t="n">
        <v>60.0</v>
      </c>
      <c r="G188" s="20" t="n">
        <v>8.02</v>
      </c>
      <c r="H188" s="20" t="str">
        <f>TRUNC(G188 * (1 + 29.07 / 100), 2)</f>
      </c>
      <c r="I188" s="20" t="str">
        <f>TRUNC(F188 * h188, 2)</f>
      </c>
      <c r="J188" s="21" t="str">
        <f>i188 / 3372490.28</f>
      </c>
    </row>
    <row customHeight="1" ht="39" r="189">
      <c r="A189" s="17" t="inlineStr">
        <is>
          <t> 09.01.17 </t>
        </is>
      </c>
      <c r="B189" s="19" t="inlineStr">
        <is>
          <t> 90466 </t>
        </is>
      </c>
      <c r="C189" s="17" t="inlineStr">
        <is>
          <t>SINAPI</t>
        </is>
      </c>
      <c r="D189" s="17" t="inlineStr">
        <is>
          <t>CHUMBAMENTO LINEAR EM ALVENARIA PARA RAMAIS/DISTRIBUIÇÃO DE INSTALAÇÕES HIDRÁULICAS COM DIÂMETROS MENORES OU IGUAIS A 40 MM. AF_09/2023</t>
        </is>
      </c>
      <c r="E189" s="18" t="inlineStr">
        <is>
          <t>M</t>
        </is>
      </c>
      <c r="F189" s="19" t="n">
        <v>60.0</v>
      </c>
      <c r="G189" s="20" t="n">
        <v>15.53</v>
      </c>
      <c r="H189" s="20" t="str">
        <f>TRUNC(G189 * (1 + 29.07 / 100), 2)</f>
      </c>
      <c r="I189" s="20" t="str">
        <f>TRUNC(F189 * h189, 2)</f>
      </c>
      <c r="J189" s="21" t="str">
        <f>i189 / 3372490.28</f>
      </c>
    </row>
    <row customHeight="1" ht="39" r="190">
      <c r="A190" s="17" t="inlineStr">
        <is>
          <t> 09.01.18 </t>
        </is>
      </c>
      <c r="B190" s="19" t="inlineStr">
        <is>
          <t> 102622 </t>
        </is>
      </c>
      <c r="C190" s="17" t="inlineStr">
        <is>
          <t>SINAPI</t>
        </is>
      </c>
      <c r="D190" s="17" t="inlineStr">
        <is>
          <t>CAIXA D´ÁGUA EM POLIETILENO, 500 LITROS (INCLUSOS TUBOS, CONEXÕES E TORNEIRA DE BÓIA) - FORNECIMENTO E INSTALAÇÃO. AF_06/2021</t>
        </is>
      </c>
      <c r="E190" s="18" t="inlineStr">
        <is>
          <t>UN</t>
        </is>
      </c>
      <c r="F190" s="19" t="n">
        <v>2.0</v>
      </c>
      <c r="G190" s="20" t="n">
        <v>558.32</v>
      </c>
      <c r="H190" s="20" t="str">
        <f>TRUNC(G190 * (1 + 29.07 / 100), 2)</f>
      </c>
      <c r="I190" s="20" t="str">
        <f>TRUNC(F190 * h190, 2)</f>
      </c>
      <c r="J190" s="21" t="str">
        <f>i190 / 3372490.28</f>
      </c>
    </row>
    <row customHeight="1" ht="26" r="191">
      <c r="A191" s="17" t="inlineStr">
        <is>
          <t> 09.01.19 </t>
        </is>
      </c>
      <c r="B191" s="19" t="inlineStr">
        <is>
          <t> ITA0069 </t>
        </is>
      </c>
      <c r="C191" s="17" t="inlineStr">
        <is>
          <t>Próprio</t>
        </is>
      </c>
      <c r="D191" s="17" t="inlineStr">
        <is>
          <t>FORNECIMENTO E INSTALAÇÃO DE PLUG DE PVC ROSCÁVEL D = 1/2"</t>
        </is>
      </c>
      <c r="E191" s="18" t="inlineStr">
        <is>
          <t>UND</t>
        </is>
      </c>
      <c r="F191" s="19" t="n">
        <v>26.0</v>
      </c>
      <c r="G191" s="20" t="n">
        <v>3.23</v>
      </c>
      <c r="H191" s="20" t="str">
        <f>TRUNC(G191 * (1 + 29.07 / 100), 2)</f>
      </c>
      <c r="I191" s="20" t="str">
        <f>TRUNC(F191 * h191, 2)</f>
      </c>
      <c r="J191" s="21" t="str">
        <f>i191 / 3372490.28</f>
      </c>
    </row>
    <row customHeight="1" ht="26" r="192">
      <c r="A192" s="17" t="inlineStr">
        <is>
          <t> 09.01.20 </t>
        </is>
      </c>
      <c r="B192" s="19" t="inlineStr">
        <is>
          <t> ITA0070 </t>
        </is>
      </c>
      <c r="C192" s="17" t="inlineStr">
        <is>
          <t>Próprio</t>
        </is>
      </c>
      <c r="D192" s="17" t="inlineStr">
        <is>
          <t>FORNECIMENTO E INSTALAÇÃO DE PLUG DE PVC ROSCÁVEL D = 3/4"</t>
        </is>
      </c>
      <c r="E192" s="18" t="inlineStr">
        <is>
          <t>UND</t>
        </is>
      </c>
      <c r="F192" s="19" t="n">
        <v>22.0</v>
      </c>
      <c r="G192" s="20" t="n">
        <v>3.37</v>
      </c>
      <c r="H192" s="20" t="str">
        <f>TRUNC(G192 * (1 + 29.07 / 100), 2)</f>
      </c>
      <c r="I192" s="20" t="str">
        <f>TRUNC(F192 * h192, 2)</f>
      </c>
      <c r="J192" s="21" t="str">
        <f>i192 / 3372490.28</f>
      </c>
    </row>
    <row customHeight="1" ht="24" r="193">
      <c r="A193" s="9" t="inlineStr">
        <is>
          <t> 09.02 </t>
        </is>
      </c>
      <c r="B193" s="9"/>
      <c r="C193" s="9"/>
      <c r="D193" s="9" t="inlineStr">
        <is>
          <t>INSTALAÇÕES SANITARIAS</t>
        </is>
      </c>
      <c r="E193" s="9"/>
      <c r="F193" s="11"/>
      <c r="G193" s="9"/>
      <c r="H193" s="9"/>
      <c r="I193" s="12" t="n">
        <v>22707.61</v>
      </c>
      <c r="J193" s="13" t="str">
        <f>i193 / 3372490.28</f>
      </c>
    </row>
    <row customHeight="1" ht="39" r="194">
      <c r="A194" s="17" t="inlineStr">
        <is>
          <t> 09.02.1 </t>
        </is>
      </c>
      <c r="B194" s="19" t="inlineStr">
        <is>
          <t> 89714 </t>
        </is>
      </c>
      <c r="C194" s="17" t="inlineStr">
        <is>
          <t>SINAPI</t>
        </is>
      </c>
      <c r="D194" s="17" t="inlineStr">
        <is>
          <t>TUBO PVC, SERIE NORMAL, ESGOTO PREDIAL, DN 100 MM, FORNECIDO E INSTALADO EM RAMAL DE DESCARGA OU RAMAL DE ESGOTO SANITÁRIO. AF_08/2022</t>
        </is>
      </c>
      <c r="E194" s="18" t="inlineStr">
        <is>
          <t>M</t>
        </is>
      </c>
      <c r="F194" s="19" t="n">
        <v>94.0</v>
      </c>
      <c r="G194" s="20" t="n">
        <v>34.68</v>
      </c>
      <c r="H194" s="20" t="str">
        <f>TRUNC(G194 * (1 + 29.07 / 100), 2)</f>
      </c>
      <c r="I194" s="20" t="str">
        <f>TRUNC(F194 * h194, 2)</f>
      </c>
      <c r="J194" s="21" t="str">
        <f>i194 / 3372490.28</f>
      </c>
    </row>
    <row customHeight="1" ht="39" r="195">
      <c r="A195" s="17" t="inlineStr">
        <is>
          <t> 09.02.2 </t>
        </is>
      </c>
      <c r="B195" s="19" t="inlineStr">
        <is>
          <t> 89713 </t>
        </is>
      </c>
      <c r="C195" s="17" t="inlineStr">
        <is>
          <t>SINAPI</t>
        </is>
      </c>
      <c r="D195" s="17" t="inlineStr">
        <is>
          <t>TUBO PVC, SERIE NORMAL, ESGOTO PREDIAL, DN 75 MM, FORNECIDO E INSTALADO EM RAMAL DE DESCARGA OU RAMAL DE ESGOTO SANITÁRIO. AF_08/2022</t>
        </is>
      </c>
      <c r="E195" s="18" t="inlineStr">
        <is>
          <t>M</t>
        </is>
      </c>
      <c r="F195" s="19" t="n">
        <v>45.1</v>
      </c>
      <c r="G195" s="20" t="n">
        <v>30.88</v>
      </c>
      <c r="H195" s="20" t="str">
        <f>TRUNC(G195 * (1 + 29.07 / 100), 2)</f>
      </c>
      <c r="I195" s="20" t="str">
        <f>TRUNC(F195 * h195, 2)</f>
      </c>
      <c r="J195" s="21" t="str">
        <f>i195 / 3372490.28</f>
      </c>
    </row>
    <row customHeight="1" ht="39" r="196">
      <c r="A196" s="17" t="inlineStr">
        <is>
          <t> 09.02.3 </t>
        </is>
      </c>
      <c r="B196" s="19" t="inlineStr">
        <is>
          <t> 89712 </t>
        </is>
      </c>
      <c r="C196" s="17" t="inlineStr">
        <is>
          <t>SINAPI</t>
        </is>
      </c>
      <c r="D196" s="17" t="inlineStr">
        <is>
          <t>TUBO PVC, SERIE NORMAL, ESGOTO PREDIAL, DN 50 MM, FORNECIDO E INSTALADO EM RAMAL DE DESCARGA OU RAMAL DE ESGOTO SANITÁRIO. AF_08/2022</t>
        </is>
      </c>
      <c r="E196" s="18" t="inlineStr">
        <is>
          <t>M</t>
        </is>
      </c>
      <c r="F196" s="19" t="n">
        <v>27.0</v>
      </c>
      <c r="G196" s="20" t="n">
        <v>24.9</v>
      </c>
      <c r="H196" s="20" t="str">
        <f>TRUNC(G196 * (1 + 29.07 / 100), 2)</f>
      </c>
      <c r="I196" s="20" t="str">
        <f>TRUNC(F196 * h196, 2)</f>
      </c>
      <c r="J196" s="21" t="str">
        <f>i196 / 3372490.28</f>
      </c>
    </row>
    <row customHeight="1" ht="39" r="197">
      <c r="A197" s="17" t="inlineStr">
        <is>
          <t> 09.02.4 </t>
        </is>
      </c>
      <c r="B197" s="19" t="inlineStr">
        <is>
          <t> 89711 </t>
        </is>
      </c>
      <c r="C197" s="17" t="inlineStr">
        <is>
          <t>SINAPI</t>
        </is>
      </c>
      <c r="D197" s="17" t="inlineStr">
        <is>
          <t>TUBO PVC, SERIE NORMAL, ESGOTO PREDIAL, DN 40 MM, FORNECIDO E INSTALADO EM RAMAL DE DESCARGA OU RAMAL DE ESGOTO SANITÁRIO. AF_08/2022</t>
        </is>
      </c>
      <c r="E197" s="18" t="inlineStr">
        <is>
          <t>M</t>
        </is>
      </c>
      <c r="F197" s="19" t="n">
        <v>28.4</v>
      </c>
      <c r="G197" s="20" t="n">
        <v>20.04</v>
      </c>
      <c r="H197" s="20" t="str">
        <f>TRUNC(G197 * (1 + 29.07 / 100), 2)</f>
      </c>
      <c r="I197" s="20" t="str">
        <f>TRUNC(F197 * h197, 2)</f>
      </c>
      <c r="J197" s="21" t="str">
        <f>i197 / 3372490.28</f>
      </c>
    </row>
    <row customHeight="1" ht="52" r="198">
      <c r="A198" s="17" t="inlineStr">
        <is>
          <t> 09.02.5 </t>
        </is>
      </c>
      <c r="B198" s="19" t="inlineStr">
        <is>
          <t> 89834 </t>
        </is>
      </c>
      <c r="C198" s="17" t="inlineStr">
        <is>
          <t>SINAPI</t>
        </is>
      </c>
      <c r="D198" s="17" t="inlineStr">
        <is>
          <t>JUNÇÃO SIMPLES, PVC, SERIE NORMAL, ESGOTO PREDIAL, DN 100 X 100 MM, JUNTA ELÁSTICA, FORNECIDO E INSTALADO EM PRUMADA DE ESGOTO SANITÁRIO OU VENTILAÇÃO. AF_08/2022</t>
        </is>
      </c>
      <c r="E198" s="18" t="inlineStr">
        <is>
          <t>UN</t>
        </is>
      </c>
      <c r="F198" s="19" t="n">
        <v>10.0</v>
      </c>
      <c r="G198" s="20" t="n">
        <v>48.07</v>
      </c>
      <c r="H198" s="20" t="str">
        <f>TRUNC(G198 * (1 + 29.07 / 100), 2)</f>
      </c>
      <c r="I198" s="20" t="str">
        <f>TRUNC(F198 * h198, 2)</f>
      </c>
      <c r="J198" s="21" t="str">
        <f>i198 / 3372490.28</f>
      </c>
    </row>
    <row customHeight="1" ht="39" r="199">
      <c r="A199" s="17" t="inlineStr">
        <is>
          <t> 09.02.6 </t>
        </is>
      </c>
      <c r="B199" s="19" t="inlineStr">
        <is>
          <t> 89569 </t>
        </is>
      </c>
      <c r="C199" s="17" t="inlineStr">
        <is>
          <t>SINAPI</t>
        </is>
      </c>
      <c r="D199" s="17" t="inlineStr">
        <is>
          <t>JUNÇÃO SIMPLES, PVC, SERIE R, ÁGUA PLUVIAL, DN 100 X 75 MM, JUNTA ELÁSTICA, FORNECIDO E INSTALADO EM RAMAL DE ENCAMINHAMENTO. AF_06/2022</t>
        </is>
      </c>
      <c r="E199" s="18" t="inlineStr">
        <is>
          <t>UN</t>
        </is>
      </c>
      <c r="F199" s="19" t="n">
        <v>14.0</v>
      </c>
      <c r="G199" s="20" t="n">
        <v>78.28</v>
      </c>
      <c r="H199" s="20" t="str">
        <f>TRUNC(G199 * (1 + 29.07 / 100), 2)</f>
      </c>
      <c r="I199" s="20" t="str">
        <f>TRUNC(F199 * h199, 2)</f>
      </c>
      <c r="J199" s="21" t="str">
        <f>i199 / 3372490.28</f>
      </c>
    </row>
    <row customHeight="1" ht="52" r="200">
      <c r="A200" s="17" t="inlineStr">
        <is>
          <t> 09.02.7 </t>
        </is>
      </c>
      <c r="B200" s="19" t="inlineStr">
        <is>
          <t> 89850 </t>
        </is>
      </c>
      <c r="C200" s="17" t="inlineStr">
        <is>
          <t>SINAPI</t>
        </is>
      </c>
      <c r="D200" s="17" t="inlineStr">
        <is>
          <t>JOELHO 90 GRAUS, PVC, SERIE NORMAL, ESGOTO PREDIAL, DN 100 MM, JUNTA ELÁSTICA, FORNECIDO E INSTALADO EM SUBCOLETOR AÉREO DE ESGOTO SANITÁRIO. AF_08/2022</t>
        </is>
      </c>
      <c r="E200" s="18" t="inlineStr">
        <is>
          <t>UN</t>
        </is>
      </c>
      <c r="F200" s="19" t="n">
        <v>10.0</v>
      </c>
      <c r="G200" s="20" t="n">
        <v>30.02</v>
      </c>
      <c r="H200" s="20" t="str">
        <f>TRUNC(G200 * (1 + 29.07 / 100), 2)</f>
      </c>
      <c r="I200" s="20" t="str">
        <f>TRUNC(F200 * h200, 2)</f>
      </c>
      <c r="J200" s="21" t="str">
        <f>i200 / 3372490.28</f>
      </c>
    </row>
    <row customHeight="1" ht="52" r="201">
      <c r="A201" s="17" t="inlineStr">
        <is>
          <t> 09.02.8 </t>
        </is>
      </c>
      <c r="B201" s="19" t="inlineStr">
        <is>
          <t> 89748 </t>
        </is>
      </c>
      <c r="C201" s="17" t="inlineStr">
        <is>
          <t>SINAPI</t>
        </is>
      </c>
      <c r="D201" s="17" t="inlineStr">
        <is>
          <t>CURVA CURTA 90 GRAUS, PVC, SERIE NORMAL, ESGOTO PREDIAL, DN 100 MM, JUNTA ELÁSTICA, FORNECIDO E INSTALADO EM RAMAL DE DESCARGA OU RAMAL DE ESGOTO SANITÁRIO. AF_08/2022</t>
        </is>
      </c>
      <c r="E201" s="18" t="inlineStr">
        <is>
          <t>UN</t>
        </is>
      </c>
      <c r="F201" s="19" t="n">
        <v>5.0</v>
      </c>
      <c r="G201" s="20" t="n">
        <v>37.9</v>
      </c>
      <c r="H201" s="20" t="str">
        <f>TRUNC(G201 * (1 + 29.07 / 100), 2)</f>
      </c>
      <c r="I201" s="20" t="str">
        <f>TRUNC(F201 * h201, 2)</f>
      </c>
      <c r="J201" s="21" t="str">
        <f>i201 / 3372490.28</f>
      </c>
    </row>
    <row customHeight="1" ht="52" r="202">
      <c r="A202" s="17" t="inlineStr">
        <is>
          <t> 09.02.9 </t>
        </is>
      </c>
      <c r="B202" s="19" t="inlineStr">
        <is>
          <t> 89724 </t>
        </is>
      </c>
      <c r="C202" s="17" t="inlineStr">
        <is>
          <t>SINAPI</t>
        </is>
      </c>
      <c r="D202" s="17" t="inlineStr">
        <is>
          <t>JOELHO 90 GRAUS, PVC, SERIE NORMAL, ESGOTO PREDIAL, DN 40 MM, JUNTA SOLDÁVEL, FORNECIDO E INSTALADO EM RAMAL DE DESCARGA OU RAMAL DE ESGOTO SANITÁRIO. AF_08/2022</t>
        </is>
      </c>
      <c r="E202" s="18" t="inlineStr">
        <is>
          <t>UN</t>
        </is>
      </c>
      <c r="F202" s="19" t="n">
        <v>36.0</v>
      </c>
      <c r="G202" s="20" t="n">
        <v>9.59</v>
      </c>
      <c r="H202" s="20" t="str">
        <f>TRUNC(G202 * (1 + 29.07 / 100), 2)</f>
      </c>
      <c r="I202" s="20" t="str">
        <f>TRUNC(F202 * h202, 2)</f>
      </c>
      <c r="J202" s="21" t="str">
        <f>i202 / 3372490.28</f>
      </c>
    </row>
    <row customHeight="1" ht="52" r="203">
      <c r="A203" s="17" t="inlineStr">
        <is>
          <t> 09.02.10 </t>
        </is>
      </c>
      <c r="B203" s="19" t="inlineStr">
        <is>
          <t> 89737 </t>
        </is>
      </c>
      <c r="C203" s="17" t="inlineStr">
        <is>
          <t>SINAPI</t>
        </is>
      </c>
      <c r="D203" s="17" t="inlineStr">
        <is>
          <t>JOELHO 90 GRAUS, PVC, SERIE NORMAL, ESGOTO PREDIAL, DN 75 MM, JUNTA ELÁSTICA, FORNECIDO E INSTALADO EM RAMAL DE DESCARGA OU RAMAL DE ESGOTO SANITÁRIO. AF_08/2022</t>
        </is>
      </c>
      <c r="E203" s="18" t="inlineStr">
        <is>
          <t>UN</t>
        </is>
      </c>
      <c r="F203" s="19" t="n">
        <v>1.0</v>
      </c>
      <c r="G203" s="20" t="n">
        <v>21.24</v>
      </c>
      <c r="H203" s="20" t="str">
        <f>TRUNC(G203 * (1 + 29.07 / 100), 2)</f>
      </c>
      <c r="I203" s="20" t="str">
        <f>TRUNC(F203 * h203, 2)</f>
      </c>
      <c r="J203" s="21" t="str">
        <f>i203 / 3372490.28</f>
      </c>
    </row>
    <row customHeight="1" ht="52" r="204">
      <c r="A204" s="17" t="inlineStr">
        <is>
          <t> 09.02.11 </t>
        </is>
      </c>
      <c r="B204" s="19" t="inlineStr">
        <is>
          <t> 89726 </t>
        </is>
      </c>
      <c r="C204" s="17" t="inlineStr">
        <is>
          <t>SINAPI</t>
        </is>
      </c>
      <c r="D204" s="17" t="inlineStr">
        <is>
          <t>JOELHO 45 GRAUS, PVC, SERIE NORMAL, ESGOTO PREDIAL, DN 40 MM, JUNTA SOLDÁVEL, FORNECIDO E INSTALADO EM RAMAL DE DESCARGA OU RAMAL DE ESGOTO SANITÁRIO. AF_08/2022</t>
        </is>
      </c>
      <c r="E204" s="18" t="inlineStr">
        <is>
          <t>UN</t>
        </is>
      </c>
      <c r="F204" s="19" t="n">
        <v>10.0</v>
      </c>
      <c r="G204" s="20" t="n">
        <v>9.77</v>
      </c>
      <c r="H204" s="20" t="str">
        <f>TRUNC(G204 * (1 + 29.07 / 100), 2)</f>
      </c>
      <c r="I204" s="20" t="str">
        <f>TRUNC(F204 * h204, 2)</f>
      </c>
      <c r="J204" s="21" t="str">
        <f>i204 / 3372490.28</f>
      </c>
    </row>
    <row customHeight="1" ht="52" r="205">
      <c r="A205" s="17" t="inlineStr">
        <is>
          <t> 09.02.12 </t>
        </is>
      </c>
      <c r="B205" s="19" t="inlineStr">
        <is>
          <t> 89746 </t>
        </is>
      </c>
      <c r="C205" s="17" t="inlineStr">
        <is>
          <t>SINAPI</t>
        </is>
      </c>
      <c r="D205" s="17" t="inlineStr">
        <is>
          <t>JOELHO 45 GRAUS, PVC, SERIE NORMAL, ESGOTO PREDIAL, DN 100 MM, JUNTA ELÁSTICA, FORNECIDO E INSTALADO EM RAMAL DE DESCARGA OU RAMAL DE ESGOTO SANITÁRIO. AF_08/2022</t>
        </is>
      </c>
      <c r="E205" s="18" t="inlineStr">
        <is>
          <t>UN</t>
        </is>
      </c>
      <c r="F205" s="19" t="n">
        <v>4.0</v>
      </c>
      <c r="G205" s="20" t="n">
        <v>26.49</v>
      </c>
      <c r="H205" s="20" t="str">
        <f>TRUNC(G205 * (1 + 29.07 / 100), 2)</f>
      </c>
      <c r="I205" s="20" t="str">
        <f>TRUNC(F205 * h205, 2)</f>
      </c>
      <c r="J205" s="21" t="str">
        <f>i205 / 3372490.28</f>
      </c>
    </row>
    <row customHeight="1" ht="52" r="206">
      <c r="A206" s="17" t="inlineStr">
        <is>
          <t> 09.02.13 </t>
        </is>
      </c>
      <c r="B206" s="19" t="inlineStr">
        <is>
          <t> 89746 </t>
        </is>
      </c>
      <c r="C206" s="17" t="inlineStr">
        <is>
          <t>SINAPI</t>
        </is>
      </c>
      <c r="D206" s="17" t="inlineStr">
        <is>
          <t>JOELHO 45 GRAUS, PVC, SERIE NORMAL, ESGOTO PREDIAL, DN 100 MM, JUNTA ELÁSTICA, FORNECIDO E INSTALADO EM RAMAL DE DESCARGA OU RAMAL DE ESGOTO SANITÁRIO. AF_08/2022</t>
        </is>
      </c>
      <c r="E206" s="18" t="inlineStr">
        <is>
          <t>UN</t>
        </is>
      </c>
      <c r="F206" s="19" t="n">
        <v>10.0</v>
      </c>
      <c r="G206" s="20" t="n">
        <v>26.49</v>
      </c>
      <c r="H206" s="20" t="str">
        <f>TRUNC(G206 * (1 + 29.07 / 100), 2)</f>
      </c>
      <c r="I206" s="20" t="str">
        <f>TRUNC(F206 * h206, 2)</f>
      </c>
      <c r="J206" s="21" t="str">
        <f>i206 / 3372490.28</f>
      </c>
    </row>
    <row customHeight="1" ht="39" r="207">
      <c r="A207" s="17" t="inlineStr">
        <is>
          <t> 09.02.14 </t>
        </is>
      </c>
      <c r="B207" s="19" t="inlineStr">
        <is>
          <t> 89829 </t>
        </is>
      </c>
      <c r="C207" s="17" t="inlineStr">
        <is>
          <t>SINAPI</t>
        </is>
      </c>
      <c r="D207" s="17" t="inlineStr">
        <is>
          <t>TE, PVC, SERIE NORMAL, ESGOTO PREDIAL, DN 75 X 75 MM, JUNTA ELÁSTICA, FORNECIDO E INSTALADO EM PRUMADA DE ESGOTO SANITÁRIO OU VENTILAÇÃO. AF_08/2022</t>
        </is>
      </c>
      <c r="E207" s="18" t="inlineStr">
        <is>
          <t>UN</t>
        </is>
      </c>
      <c r="F207" s="19" t="n">
        <v>7.0</v>
      </c>
      <c r="G207" s="20" t="n">
        <v>32.86</v>
      </c>
      <c r="H207" s="20" t="str">
        <f>TRUNC(G207 * (1 + 29.07 / 100), 2)</f>
      </c>
      <c r="I207" s="20" t="str">
        <f>TRUNC(F207 * h207, 2)</f>
      </c>
      <c r="J207" s="21" t="str">
        <f>i207 / 3372490.28</f>
      </c>
    </row>
    <row customHeight="1" ht="52" r="208">
      <c r="A208" s="17" t="inlineStr">
        <is>
          <t> 09.02.15 </t>
        </is>
      </c>
      <c r="B208" s="19" t="inlineStr">
        <is>
          <t> 104341 </t>
        </is>
      </c>
      <c r="C208" s="17" t="inlineStr">
        <is>
          <t>SINAPI</t>
        </is>
      </c>
      <c r="D208" s="17" t="inlineStr">
        <is>
          <t>BUCHA DE REDUÇÃO LONGA, PVC, SÉRIE NORMAL, ESGOTO PREDIAL, DN 50 X 40 MM, JUNTA SOLDÁVEL E ELÁSTICA, FORNECIDO E INSTALADO EM RAMAL DE DESCARGA OU RAMAL DE ESGOTO SANITÁRIO. AF_08/2022</t>
        </is>
      </c>
      <c r="E208" s="18" t="inlineStr">
        <is>
          <t>UN</t>
        </is>
      </c>
      <c r="F208" s="19" t="n">
        <v>6.0</v>
      </c>
      <c r="G208" s="20" t="n">
        <v>10.17</v>
      </c>
      <c r="H208" s="20" t="str">
        <f>TRUNC(G208 * (1 + 29.07 / 100), 2)</f>
      </c>
      <c r="I208" s="20" t="str">
        <f>TRUNC(F208 * h208, 2)</f>
      </c>
      <c r="J208" s="21" t="str">
        <f>i208 / 3372490.28</f>
      </c>
    </row>
    <row customHeight="1" ht="39" r="209">
      <c r="A209" s="17" t="inlineStr">
        <is>
          <t> 09.02.16 </t>
        </is>
      </c>
      <c r="B209" s="19" t="inlineStr">
        <is>
          <t> 89708 </t>
        </is>
      </c>
      <c r="C209" s="17" t="inlineStr">
        <is>
          <t>SINAPI</t>
        </is>
      </c>
      <c r="D209" s="17" t="inlineStr">
        <is>
          <t>CAIXA SIFONADA, PVC, DN 150 X 185 X 75 MM, JUNTA ELÁSTICA, FORNECIDA E INSTALADA EM RAMAL DE DESCARGA OU EM RAMAL DE ESGOTO SANITÁRIO. AF_08/2022</t>
        </is>
      </c>
      <c r="E209" s="18" t="inlineStr">
        <is>
          <t>UN</t>
        </is>
      </c>
      <c r="F209" s="19" t="n">
        <v>16.0</v>
      </c>
      <c r="G209" s="20" t="n">
        <v>89.4</v>
      </c>
      <c r="H209" s="20" t="str">
        <f>TRUNC(G209 * (1 + 29.07 / 100), 2)</f>
      </c>
      <c r="I209" s="20" t="str">
        <f>TRUNC(F209 * h209, 2)</f>
      </c>
      <c r="J209" s="21" t="str">
        <f>i209 / 3372490.28</f>
      </c>
    </row>
    <row customHeight="1" ht="39" r="210">
      <c r="A210" s="17" t="inlineStr">
        <is>
          <t> 09.02.17 </t>
        </is>
      </c>
      <c r="B210" s="19" t="inlineStr">
        <is>
          <t> ITA0021 </t>
        </is>
      </c>
      <c r="C210" s="17" t="inlineStr">
        <is>
          <t>Próprio</t>
        </is>
      </c>
      <c r="D210" s="17" t="inlineStr">
        <is>
          <t>CAIXA SIFONADA PVC, COM TAMPA CEGA QUADRADA, BRANCA, FORNECIDO E INSTALADO EM PRUMADA DE ESGOTO SANITÁRIO OU VENTILAÇÃO.</t>
        </is>
      </c>
      <c r="E210" s="18" t="inlineStr">
        <is>
          <t>UN</t>
        </is>
      </c>
      <c r="F210" s="19" t="n">
        <v>3.0</v>
      </c>
      <c r="G210" s="20" t="n">
        <v>108.5</v>
      </c>
      <c r="H210" s="20" t="str">
        <f>TRUNC(G210 * (1 + 29.07 / 100), 2)</f>
      </c>
      <c r="I210" s="20" t="str">
        <f>TRUNC(F210 * h210, 2)</f>
      </c>
      <c r="J210" s="21" t="str">
        <f>i210 / 3372490.28</f>
      </c>
    </row>
    <row customHeight="1" ht="39" r="211">
      <c r="A211" s="17" t="inlineStr">
        <is>
          <t> 09.02.18 </t>
        </is>
      </c>
      <c r="B211" s="19" t="inlineStr">
        <is>
          <t> 104769 </t>
        </is>
      </c>
      <c r="C211" s="17" t="inlineStr">
        <is>
          <t>SINAPI</t>
        </is>
      </c>
      <c r="D211" s="17" t="inlineStr">
        <is>
          <t>FURO MECANIZADO EM ALVENARIA, PARA INSTALAÇÕES HIDRÁULICAS, DIÂMETROS MAIORES QUE 40 MM E MENORES OU IGUAIS A 75 MM. AF_09/2023</t>
        </is>
      </c>
      <c r="E211" s="18" t="inlineStr">
        <is>
          <t>UN</t>
        </is>
      </c>
      <c r="F211" s="19" t="n">
        <v>2.0</v>
      </c>
      <c r="G211" s="20" t="n">
        <v>1.68</v>
      </c>
      <c r="H211" s="20" t="str">
        <f>TRUNC(G211 * (1 + 29.07 / 100), 2)</f>
      </c>
      <c r="I211" s="20" t="str">
        <f>TRUNC(F211 * h211, 2)</f>
      </c>
      <c r="J211" s="21" t="str">
        <f>i211 / 3372490.28</f>
      </c>
    </row>
    <row customHeight="1" ht="39" r="212">
      <c r="A212" s="17" t="inlineStr">
        <is>
          <t> 09.02.19 </t>
        </is>
      </c>
      <c r="B212" s="19" t="inlineStr">
        <is>
          <t> 104771 </t>
        </is>
      </c>
      <c r="C212" s="17" t="inlineStr">
        <is>
          <t>SINAPI</t>
        </is>
      </c>
      <c r="D212" s="17" t="inlineStr">
        <is>
          <t>FURO MECANIZADO EM ALVENARIA, PARA INSTALAÇÕES HIDRÁULICAS, DIÂMETROS MAIORES QUE 75 MM E MENORES OU IGUAIS A 100 MM. AF_09/2023</t>
        </is>
      </c>
      <c r="E212" s="18" t="inlineStr">
        <is>
          <t>UN</t>
        </is>
      </c>
      <c r="F212" s="19" t="n">
        <v>2.0</v>
      </c>
      <c r="G212" s="20" t="n">
        <v>2.47</v>
      </c>
      <c r="H212" s="20" t="str">
        <f>TRUNC(G212 * (1 + 29.07 / 100), 2)</f>
      </c>
      <c r="I212" s="20" t="str">
        <f>TRUNC(F212 * h212, 2)</f>
      </c>
      <c r="J212" s="21" t="str">
        <f>i212 / 3372490.28</f>
      </c>
    </row>
    <row customHeight="1" ht="39" r="213">
      <c r="A213" s="17" t="inlineStr">
        <is>
          <t> 09.02.20 </t>
        </is>
      </c>
      <c r="B213" s="19" t="inlineStr">
        <is>
          <t> 104767 </t>
        </is>
      </c>
      <c r="C213" s="17" t="inlineStr">
        <is>
          <t>SINAPI</t>
        </is>
      </c>
      <c r="D213" s="17" t="inlineStr">
        <is>
          <t>FURO MECANIZADO EM ALVENARIA, PARA INSTALAÇÕES HIDRÁULICAS, DIÂMETROS MENORES OU IGUAIS A 40 MM. AF_09/2023</t>
        </is>
      </c>
      <c r="E213" s="18" t="inlineStr">
        <is>
          <t>UN</t>
        </is>
      </c>
      <c r="F213" s="19" t="n">
        <v>2.0</v>
      </c>
      <c r="G213" s="20" t="n">
        <v>0.63</v>
      </c>
      <c r="H213" s="20" t="str">
        <f>TRUNC(G213 * (1 + 29.07 / 100), 2)</f>
      </c>
      <c r="I213" s="20" t="str">
        <f>TRUNC(F213 * h213, 2)</f>
      </c>
      <c r="J213" s="21" t="str">
        <f>i213 / 3372490.28</f>
      </c>
    </row>
    <row customHeight="1" ht="39" r="214">
      <c r="A214" s="17" t="inlineStr">
        <is>
          <t> 09.02.21 </t>
        </is>
      </c>
      <c r="B214" s="19" t="inlineStr">
        <is>
          <t> 104775 </t>
        </is>
      </c>
      <c r="C214" s="17" t="inlineStr">
        <is>
          <t>SINAPI</t>
        </is>
      </c>
      <c r="D214" s="17" t="inlineStr">
        <is>
          <t>FURO MECANIZADO EM CONCRETO, COM PERFURATRIZ, PARA INSTALAÇÕES HIDRÁULICAS, DIÂMETROS MAIORES QUE 40 MM E MENORES OU IGUAIS A 75 MM. AF_09/2023</t>
        </is>
      </c>
      <c r="E214" s="18" t="inlineStr">
        <is>
          <t>UN</t>
        </is>
      </c>
      <c r="F214" s="19" t="n">
        <v>2.0</v>
      </c>
      <c r="G214" s="20" t="n">
        <v>5.89</v>
      </c>
      <c r="H214" s="20" t="str">
        <f>TRUNC(G214 * (1 + 29.07 / 100), 2)</f>
      </c>
      <c r="I214" s="20" t="str">
        <f>TRUNC(F214 * h214, 2)</f>
      </c>
      <c r="J214" s="21" t="str">
        <f>i214 / 3372490.28</f>
      </c>
    </row>
    <row customHeight="1" ht="39" r="215">
      <c r="A215" s="17" t="inlineStr">
        <is>
          <t> 09.02.22 </t>
        </is>
      </c>
      <c r="B215" s="19" t="inlineStr">
        <is>
          <t> 104777 </t>
        </is>
      </c>
      <c r="C215" s="17" t="inlineStr">
        <is>
          <t>SINAPI</t>
        </is>
      </c>
      <c r="D215" s="17" t="inlineStr">
        <is>
          <t>FURO MECANIZADO EM CONCRETO, COM PERFURATRIZ, PARA INSTALAÇÕES HIDRÁULICAS, DIÂMETROS MAIORES QUE 75 MM E MENORES OU IGUAIS A 150 MM. AF_09/2023</t>
        </is>
      </c>
      <c r="E215" s="18" t="inlineStr">
        <is>
          <t>UN</t>
        </is>
      </c>
      <c r="F215" s="19" t="n">
        <v>2.0</v>
      </c>
      <c r="G215" s="20" t="n">
        <v>8.6</v>
      </c>
      <c r="H215" s="20" t="str">
        <f>TRUNC(G215 * (1 + 29.07 / 100), 2)</f>
      </c>
      <c r="I215" s="20" t="str">
        <f>TRUNC(F215 * h215, 2)</f>
      </c>
      <c r="J215" s="21" t="str">
        <f>i215 / 3372490.28</f>
      </c>
    </row>
    <row customHeight="1" ht="39" r="216">
      <c r="A216" s="17" t="inlineStr">
        <is>
          <t> 09.02.23 </t>
        </is>
      </c>
      <c r="B216" s="19" t="inlineStr">
        <is>
          <t> 104773 </t>
        </is>
      </c>
      <c r="C216" s="17" t="inlineStr">
        <is>
          <t>SINAPI</t>
        </is>
      </c>
      <c r="D216" s="17" t="inlineStr">
        <is>
          <t>FURO MECANIZADO EM CONCRETO, COM PERFURATRIZ, PARA INSTALAÇÕES HIDRÁULICAS, DIÂMETROS MENORES OU IGUAIS A 40 MM. AF_09/2023</t>
        </is>
      </c>
      <c r="E216" s="18" t="inlineStr">
        <is>
          <t>UN</t>
        </is>
      </c>
      <c r="F216" s="19" t="n">
        <v>2.0</v>
      </c>
      <c r="G216" s="20" t="n">
        <v>2.2</v>
      </c>
      <c r="H216" s="20" t="str">
        <f>TRUNC(G216 * (1 + 29.07 / 100), 2)</f>
      </c>
      <c r="I216" s="20" t="str">
        <f>TRUNC(F216 * h216, 2)</f>
      </c>
      <c r="J216" s="21" t="str">
        <f>i216 / 3372490.28</f>
      </c>
    </row>
    <row customHeight="1" ht="26" r="217">
      <c r="A217" s="17" t="inlineStr">
        <is>
          <t> 09.02.24 </t>
        </is>
      </c>
      <c r="B217" s="19" t="inlineStr">
        <is>
          <t> 91191 </t>
        </is>
      </c>
      <c r="C217" s="17" t="inlineStr">
        <is>
          <t>SINAPI</t>
        </is>
      </c>
      <c r="D217" s="17" t="inlineStr">
        <is>
          <t>CHUMBAMENTO PONTUAL EM PASSAGEM DE TUBO COM DIÂMETROS ENTRE 40 MM E 75 MM. AF_09/2023</t>
        </is>
      </c>
      <c r="E217" s="18" t="inlineStr">
        <is>
          <t>UN</t>
        </is>
      </c>
      <c r="F217" s="19" t="n">
        <v>2.0</v>
      </c>
      <c r="G217" s="20" t="n">
        <v>14.83</v>
      </c>
      <c r="H217" s="20" t="str">
        <f>TRUNC(G217 * (1 + 29.07 / 100), 2)</f>
      </c>
      <c r="I217" s="20" t="str">
        <f>TRUNC(F217 * h217, 2)</f>
      </c>
      <c r="J217" s="21" t="str">
        <f>i217 / 3372490.28</f>
      </c>
    </row>
    <row customHeight="1" ht="26" r="218">
      <c r="A218" s="17" t="inlineStr">
        <is>
          <t> 09.02.25 </t>
        </is>
      </c>
      <c r="B218" s="19" t="inlineStr">
        <is>
          <t> 91190 </t>
        </is>
      </c>
      <c r="C218" s="17" t="inlineStr">
        <is>
          <t>SINAPI</t>
        </is>
      </c>
      <c r="D218" s="17" t="inlineStr">
        <is>
          <t>CHUMBAMENTO PONTUAL EM PASSAGEM DE TUBO COM DIÂMETRO MENOR OU IGUAL A 40 MM. AF_09/2023</t>
        </is>
      </c>
      <c r="E218" s="18" t="inlineStr">
        <is>
          <t>UN</t>
        </is>
      </c>
      <c r="F218" s="19" t="n">
        <v>2.0</v>
      </c>
      <c r="G218" s="20" t="n">
        <v>10.69</v>
      </c>
      <c r="H218" s="20" t="str">
        <f>TRUNC(G218 * (1 + 29.07 / 100), 2)</f>
      </c>
      <c r="I218" s="20" t="str">
        <f>TRUNC(F218 * h218, 2)</f>
      </c>
      <c r="J218" s="21" t="str">
        <f>i218 / 3372490.28</f>
      </c>
    </row>
    <row customHeight="1" ht="39" r="219">
      <c r="A219" s="17" t="inlineStr">
        <is>
          <t> 09.02.26 </t>
        </is>
      </c>
      <c r="B219" s="19" t="inlineStr">
        <is>
          <t> 91192 </t>
        </is>
      </c>
      <c r="C219" s="17" t="inlineStr">
        <is>
          <t>SINAPI</t>
        </is>
      </c>
      <c r="D219" s="17" t="inlineStr">
        <is>
          <t>CHUMBAMENTO PONTUAL EM PASSAGEM DE TUBO COM DIÂMETRO MAIOR QUE 75 MM E MENORES OU IGUAIS A 150 MM. AF_09/2023</t>
        </is>
      </c>
      <c r="E219" s="18" t="inlineStr">
        <is>
          <t>UN</t>
        </is>
      </c>
      <c r="F219" s="19" t="n">
        <v>2.0</v>
      </c>
      <c r="G219" s="20" t="n">
        <v>22.23</v>
      </c>
      <c r="H219" s="20" t="str">
        <f>TRUNC(G219 * (1 + 29.07 / 100), 2)</f>
      </c>
      <c r="I219" s="20" t="str">
        <f>TRUNC(F219 * h219, 2)</f>
      </c>
      <c r="J219" s="21" t="str">
        <f>i219 / 3372490.28</f>
      </c>
    </row>
    <row customHeight="1" ht="65" r="220">
      <c r="A220" s="17" t="inlineStr">
        <is>
          <t> 09.02.27 </t>
        </is>
      </c>
      <c r="B220" s="19" t="inlineStr">
        <is>
          <t> 90099 </t>
        </is>
      </c>
      <c r="C220" s="17" t="inlineStr">
        <is>
          <t>SINAPI</t>
        </is>
      </c>
      <c r="D220" s="17" t="inlineStr">
        <is>
          <t>ESCAVAÇÃO MECANIZADA DE VALA COM PROF. ATÉ 1,5 M (MÉDIA MONTANTE E JUSANTE/UMA COMPOSIÇÃO POR TRECHO), RETROESCAV. (0,26 M3), LARG. MENOR QUE 0,8 M, EM SOLO DE 1A CATEGORIA, EM LOCAIS COM ALTO NÍVEL DE INTERFERÊNCIA. AF_02/2021</t>
        </is>
      </c>
      <c r="E220" s="18" t="inlineStr">
        <is>
          <t>m³</t>
        </is>
      </c>
      <c r="F220" s="19" t="n">
        <v>56.28</v>
      </c>
      <c r="G220" s="20" t="n">
        <v>17.06</v>
      </c>
      <c r="H220" s="20" t="str">
        <f>TRUNC(G220 * (1 + 29.07 / 100), 2)</f>
      </c>
      <c r="I220" s="20" t="str">
        <f>TRUNC(F220 * h220, 2)</f>
      </c>
      <c r="J220" s="21" t="str">
        <f>i220 / 3372490.28</f>
      </c>
    </row>
    <row customHeight="1" ht="24" r="221">
      <c r="A221" s="17" t="inlineStr">
        <is>
          <t> 09.02.28 </t>
        </is>
      </c>
      <c r="B221" s="19" t="inlineStr">
        <is>
          <t> RC0052 </t>
        </is>
      </c>
      <c r="C221" s="17" t="inlineStr">
        <is>
          <t>Próprio</t>
        </is>
      </c>
      <c r="D221" s="17" t="inlineStr">
        <is>
          <t>REGULARIZAÇÃO MANUAL</t>
        </is>
      </c>
      <c r="E221" s="18" t="inlineStr">
        <is>
          <t>m²</t>
        </is>
      </c>
      <c r="F221" s="19" t="n">
        <v>37.52</v>
      </c>
      <c r="G221" s="20" t="n">
        <v>6.36</v>
      </c>
      <c r="H221" s="20" t="str">
        <f>TRUNC(G221 * (1 + 29.07 / 100), 2)</f>
      </c>
      <c r="I221" s="20" t="str">
        <f>TRUNC(F221 * h221, 2)</f>
      </c>
      <c r="J221" s="21" t="str">
        <f>i221 / 3372490.28</f>
      </c>
    </row>
    <row customHeight="1" ht="65" r="222">
      <c r="A222" s="17" t="inlineStr">
        <is>
          <t> 09.02.29 </t>
        </is>
      </c>
      <c r="B222" s="19" t="inlineStr">
        <is>
          <t> 93379 </t>
        </is>
      </c>
      <c r="C222" s="17" t="inlineStr">
        <is>
          <t>SINAPI</t>
        </is>
      </c>
      <c r="D222" s="17" t="inlineStr">
        <is>
          <t>REATERRO MECANIZADO DE VALA COM RETROESCAVADEIRA (CAPACIDADE DA CAÇAMBA   DA RETRO: 0,26 M³/POTÊNCIA: 88 HP), LARGURA 0,8 A 1,5 M, PROFUNDIDADE ATÉ 1,5 M, COM SOLO (SEM SUBSTITUIÇÃO) DE 1ª CATEGORIA, COM COMPACTADOR DE SOLOS DE PERCUSSÃO AF_08/2023</t>
        </is>
      </c>
      <c r="E222" s="18" t="inlineStr">
        <is>
          <t>m³</t>
        </is>
      </c>
      <c r="F222" s="19" t="n">
        <v>51.28</v>
      </c>
      <c r="G222" s="20" t="n">
        <v>19.8</v>
      </c>
      <c r="H222" s="20" t="str">
        <f>TRUNC(G222 * (1 + 29.07 / 100), 2)</f>
      </c>
      <c r="I222" s="20" t="str">
        <f>TRUNC(F222 * h222, 2)</f>
      </c>
      <c r="J222" s="21" t="str">
        <f>i222 / 3372490.28</f>
      </c>
    </row>
    <row customHeight="1" ht="39" r="223">
      <c r="A223" s="17" t="inlineStr">
        <is>
          <t> 09.02.30 </t>
        </is>
      </c>
      <c r="B223" s="19" t="inlineStr">
        <is>
          <t> 97902 </t>
        </is>
      </c>
      <c r="C223" s="17" t="inlineStr">
        <is>
          <t>SINAPI</t>
        </is>
      </c>
      <c r="D223" s="17" t="inlineStr">
        <is>
          <t>CAIXA ENTERRADA HIDRÁULICA RETANGULAR EM ALVENARIA COM TIJOLOS CERÂMICOS MACIÇOS, DIMENSÕES INTERNAS: 0,6X0,6X0,6 M PARA REDE DE ESGOTO. AF_12/2020</t>
        </is>
      </c>
      <c r="E223" s="18" t="inlineStr">
        <is>
          <t>UN</t>
        </is>
      </c>
      <c r="F223" s="19" t="n">
        <v>7.0</v>
      </c>
      <c r="G223" s="20" t="n">
        <v>571.08</v>
      </c>
      <c r="H223" s="20" t="str">
        <f>TRUNC(G223 * (1 + 29.07 / 100), 2)</f>
      </c>
      <c r="I223" s="20" t="str">
        <f>TRUNC(F223 * h223, 2)</f>
      </c>
      <c r="J223" s="21" t="str">
        <f>i223 / 3372490.28</f>
      </c>
    </row>
    <row customHeight="1" ht="24" r="224">
      <c r="A224" s="17" t="inlineStr">
        <is>
          <t> 09.02.31 </t>
        </is>
      </c>
      <c r="B224" s="19" t="inlineStr">
        <is>
          <t> ITA0023 </t>
        </is>
      </c>
      <c r="C224" s="17" t="inlineStr">
        <is>
          <t>Próprio</t>
        </is>
      </c>
      <c r="D224" s="17" t="inlineStr">
        <is>
          <t>LIMPEZA E TESTE DE REDES DE ESGOTOS SANITÁRIOS</t>
        </is>
      </c>
      <c r="E224" s="18" t="inlineStr">
        <is>
          <t>m</t>
        </is>
      </c>
      <c r="F224" s="19" t="n">
        <v>17.0</v>
      </c>
      <c r="G224" s="20" t="n">
        <v>4.86</v>
      </c>
      <c r="H224" s="20" t="str">
        <f>TRUNC(G224 * (1 + 29.07 / 100), 2)</f>
      </c>
      <c r="I224" s="20" t="str">
        <f>TRUNC(F224 * h224, 2)</f>
      </c>
      <c r="J224" s="21" t="str">
        <f>i224 / 3372490.28</f>
      </c>
    </row>
    <row customHeight="1" ht="52" r="225">
      <c r="A225" s="17" t="inlineStr">
        <is>
          <t> 09.02.32 </t>
        </is>
      </c>
      <c r="B225" s="19" t="inlineStr">
        <is>
          <t> 89731 </t>
        </is>
      </c>
      <c r="C225" s="17" t="inlineStr">
        <is>
          <t>SINAPI</t>
        </is>
      </c>
      <c r="D225" s="17" t="inlineStr">
        <is>
          <t>JOELHO 90 GRAUS, PVC, SERIE NORMAL, ESGOTO PREDIAL, DN 50 MM, JUNTA ELÁSTICA, FORNECIDO E INSTALADO EM RAMAL DE DESCARGA OU RAMAL DE ESGOTO SANITÁRIO. AF_08/2022</t>
        </is>
      </c>
      <c r="E225" s="18" t="inlineStr">
        <is>
          <t>UN</t>
        </is>
      </c>
      <c r="F225" s="19" t="n">
        <v>14.0</v>
      </c>
      <c r="G225" s="20" t="n">
        <v>14.32</v>
      </c>
      <c r="H225" s="20" t="str">
        <f>TRUNC(G225 * (1 + 29.07 / 100), 2)</f>
      </c>
      <c r="I225" s="20" t="str">
        <f>TRUNC(F225 * h225, 2)</f>
      </c>
      <c r="J225" s="21" t="str">
        <f>i225 / 3372490.28</f>
      </c>
    </row>
    <row customHeight="1" ht="39" r="226">
      <c r="A226" s="17" t="inlineStr">
        <is>
          <t> 09.02.33 </t>
        </is>
      </c>
      <c r="B226" s="19" t="inlineStr">
        <is>
          <t> 89549 </t>
        </is>
      </c>
      <c r="C226" s="17" t="inlineStr">
        <is>
          <t>SINAPI</t>
        </is>
      </c>
      <c r="D226" s="17" t="inlineStr">
        <is>
          <t>REDUÇÃO EXCÊNTRICA, PVC, SERIE R, ÁGUA PLUVIAL, DN 75 X 50 MM, JUNTA ELÁSTICA, FORNECIDO E INSTALADO EM RAMAL DE ENCAMINHAMENTO. AF_06/2022</t>
        </is>
      </c>
      <c r="E226" s="18" t="inlineStr">
        <is>
          <t>UN</t>
        </is>
      </c>
      <c r="F226" s="19" t="n">
        <v>7.0</v>
      </c>
      <c r="G226" s="20" t="n">
        <v>17.14</v>
      </c>
      <c r="H226" s="20" t="str">
        <f>TRUNC(G226 * (1 + 29.07 / 100), 2)</f>
      </c>
      <c r="I226" s="20" t="str">
        <f>TRUNC(F226 * h226, 2)</f>
      </c>
      <c r="J226" s="21" t="str">
        <f>i226 / 3372490.28</f>
      </c>
    </row>
    <row customHeight="1" ht="24" r="227">
      <c r="A227" s="9" t="inlineStr">
        <is>
          <t> 09.03 </t>
        </is>
      </c>
      <c r="B227" s="9"/>
      <c r="C227" s="9"/>
      <c r="D227" s="9" t="inlineStr">
        <is>
          <t>LOUÇA, METAIS E ACESORIOS SANITARIOS</t>
        </is>
      </c>
      <c r="E227" s="9"/>
      <c r="F227" s="11"/>
      <c r="G227" s="9"/>
      <c r="H227" s="9"/>
      <c r="I227" s="12" t="n">
        <v>80222.27</v>
      </c>
      <c r="J227" s="13" t="str">
        <f>i227 / 3372490.28</f>
      </c>
    </row>
    <row customHeight="1" ht="52" r="228">
      <c r="A228" s="17" t="inlineStr">
        <is>
          <t> 09.03.1 </t>
        </is>
      </c>
      <c r="B228" s="19" t="inlineStr">
        <is>
          <t> ITA0060 </t>
        </is>
      </c>
      <c r="C228" s="17" t="inlineStr">
        <is>
          <t>Próprio</t>
        </is>
      </c>
      <c r="D228" s="17" t="inlineStr">
        <is>
          <t>LAVATÓRIO  LOUÇA COM COLUNA SUSPENSA VOGUE PLUS, COR BRANCO, INCLUSO VÁLVULA EM METAL CROMADO, SIFÃO DE COPO EM METAL CROMADO E ENGATE FLEXÍVEL 40 CM EM METAL CROMADO - FORNECIMENTO E INSTALAÇÃO</t>
        </is>
      </c>
      <c r="E228" s="18" t="inlineStr">
        <is>
          <t>UND</t>
        </is>
      </c>
      <c r="F228" s="19" t="n">
        <v>6.0</v>
      </c>
      <c r="G228" s="20" t="n">
        <v>551.63</v>
      </c>
      <c r="H228" s="20" t="str">
        <f>TRUNC(G228 * (1 + 29.07 / 100), 2)</f>
      </c>
      <c r="I228" s="20" t="str">
        <f>TRUNC(F228 * h228, 2)</f>
      </c>
      <c r="J228" s="21" t="str">
        <f>i228 / 3372490.28</f>
      </c>
    </row>
    <row customHeight="1" ht="26" r="229">
      <c r="A229" s="17" t="inlineStr">
        <is>
          <t> 09.03.2 </t>
        </is>
      </c>
      <c r="B229" s="19" t="inlineStr">
        <is>
          <t> 100853 </t>
        </is>
      </c>
      <c r="C229" s="17" t="inlineStr">
        <is>
          <t>SINAPI</t>
        </is>
      </c>
      <c r="D229" s="17" t="inlineStr">
        <is>
          <t>TORNEIRA CROMADA DE MESA PARA LAVATORIO, TIPO MONOCOMANDO. AF_01/2020</t>
        </is>
      </c>
      <c r="E229" s="18" t="inlineStr">
        <is>
          <t>UN</t>
        </is>
      </c>
      <c r="F229" s="19" t="n">
        <v>9.0</v>
      </c>
      <c r="G229" s="20" t="n">
        <v>359.66</v>
      </c>
      <c r="H229" s="20" t="str">
        <f>TRUNC(G229 * (1 + 29.07 / 100), 2)</f>
      </c>
      <c r="I229" s="20" t="str">
        <f>TRUNC(F229 * h229, 2)</f>
      </c>
      <c r="J229" s="21" t="str">
        <f>i229 / 3372490.28</f>
      </c>
    </row>
    <row customHeight="1" ht="26" r="230">
      <c r="A230" s="17" t="inlineStr">
        <is>
          <t> 09.03.3 </t>
        </is>
      </c>
      <c r="B230" s="19" t="inlineStr">
        <is>
          <t> ITA0061 </t>
        </is>
      </c>
      <c r="C230" s="17" t="inlineStr">
        <is>
          <t>Próprio</t>
        </is>
      </c>
      <c r="D230" s="17" t="inlineStr">
        <is>
          <t>TORNEIRA ALAVANCA PCD PARA LAVATÓRIO DE MESA , ACABAMENTO CROMADO, OU EQUIVALENTE TÉCNICO</t>
        </is>
      </c>
      <c r="E230" s="18" t="inlineStr">
        <is>
          <t>UND</t>
        </is>
      </c>
      <c r="F230" s="19" t="n">
        <v>6.0</v>
      </c>
      <c r="G230" s="20" t="n">
        <v>157.1</v>
      </c>
      <c r="H230" s="20" t="str">
        <f>TRUNC(G230 * (1 + 29.07 / 100), 2)</f>
      </c>
      <c r="I230" s="20" t="str">
        <f>TRUNC(F230 * h230, 2)</f>
      </c>
      <c r="J230" s="21" t="str">
        <f>i230 / 3372490.28</f>
      </c>
    </row>
    <row customHeight="1" ht="26" r="231">
      <c r="A231" s="17" t="inlineStr">
        <is>
          <t> 09.03.4 </t>
        </is>
      </c>
      <c r="B231" s="19" t="inlineStr">
        <is>
          <t> 86914 </t>
        </is>
      </c>
      <c r="C231" s="17" t="inlineStr">
        <is>
          <t>SINAPI</t>
        </is>
      </c>
      <c r="D231" s="17" t="inlineStr">
        <is>
          <t>TORNEIRA CROMADA 1/2" OU 3/4" PARA TANQUE, PADRÃO MÉDIO - FORNECIMENTO E INSTALAÇÃO. AF_01/2020</t>
        </is>
      </c>
      <c r="E231" s="18" t="inlineStr">
        <is>
          <t>UN</t>
        </is>
      </c>
      <c r="F231" s="19" t="n">
        <v>2.0</v>
      </c>
      <c r="G231" s="20" t="n">
        <v>102.88</v>
      </c>
      <c r="H231" s="20" t="str">
        <f>TRUNC(G231 * (1 + 29.07 / 100), 2)</f>
      </c>
      <c r="I231" s="20" t="str">
        <f>TRUNC(F231 * h231, 2)</f>
      </c>
      <c r="J231" s="21" t="str">
        <f>i231 / 3372490.28</f>
      </c>
    </row>
    <row customHeight="1" ht="52" r="232">
      <c r="A232" s="17" t="inlineStr">
        <is>
          <t> 09.03.5 </t>
        </is>
      </c>
      <c r="B232" s="19" t="inlineStr">
        <is>
          <t> 86938 </t>
        </is>
      </c>
      <c r="C232" s="17" t="inlineStr">
        <is>
          <t>SINAPI</t>
        </is>
      </c>
      <c r="D232" s="17" t="inlineStr">
        <is>
          <t>CUBA DE EMBUTIR OVAL EM LOUÇA BRANCA, 35 X 50CM OU EQUIVALENTE, INCLUSO VÁLVULA E SIFÃO TIPO GARRAFA EM METAL CROMADO - FORNECIMENTO E INSTALAÇÃO. AF_01/2020</t>
        </is>
      </c>
      <c r="E232" s="18" t="inlineStr">
        <is>
          <t>UN</t>
        </is>
      </c>
      <c r="F232" s="19" t="n">
        <v>9.0</v>
      </c>
      <c r="G232" s="20" t="n">
        <v>344.76</v>
      </c>
      <c r="H232" s="20" t="str">
        <f>TRUNC(G232 * (1 + 29.07 / 100), 2)</f>
      </c>
      <c r="I232" s="20" t="str">
        <f>TRUNC(F232 * h232, 2)</f>
      </c>
      <c r="J232" s="21" t="str">
        <f>i232 / 3372490.28</f>
      </c>
    </row>
    <row customHeight="1" ht="26" r="233">
      <c r="A233" s="17" t="inlineStr">
        <is>
          <t> 09.03.6 </t>
        </is>
      </c>
      <c r="B233" s="19" t="inlineStr">
        <is>
          <t> 100858 </t>
        </is>
      </c>
      <c r="C233" s="17" t="inlineStr">
        <is>
          <t>SINAPI</t>
        </is>
      </c>
      <c r="D233" s="17" t="inlineStr">
        <is>
          <t>MICTÓRIO SIFONADO LOUÇA BRANCA - PADRÃO MÉDIO - FORNECIMENTO E INSTALAÇÃO. AF_01/2020</t>
        </is>
      </c>
      <c r="E233" s="18" t="inlineStr">
        <is>
          <t>UN</t>
        </is>
      </c>
      <c r="F233" s="19" t="n">
        <v>3.0</v>
      </c>
      <c r="G233" s="20" t="n">
        <v>734.68</v>
      </c>
      <c r="H233" s="20" t="str">
        <f>TRUNC(G233 * (1 + 29.07 / 100), 2)</f>
      </c>
      <c r="I233" s="20" t="str">
        <f>TRUNC(F233 * h233, 2)</f>
      </c>
      <c r="J233" s="21" t="str">
        <f>i233 / 3372490.28</f>
      </c>
    </row>
    <row customHeight="1" ht="52" r="234">
      <c r="A234" s="17" t="inlineStr">
        <is>
          <t> 09.03.7 </t>
        </is>
      </c>
      <c r="B234" s="19" t="inlineStr">
        <is>
          <t> 86932 </t>
        </is>
      </c>
      <c r="C234" s="17" t="inlineStr">
        <is>
          <t>SINAPI</t>
        </is>
      </c>
      <c r="D234" s="17" t="inlineStr">
        <is>
          <t>VASO SANITÁRIO SIFONADO COM CAIXA ACOPLADA LOUÇA BRANCA - PADRÃO MÉDIO, INCLUSO ENGATE FLEXÍVEL EM METAL CROMADO, 1/2  X 40CM - FORNECIMENTO E INSTALAÇÃO. AF_01/2020</t>
        </is>
      </c>
      <c r="E234" s="18" t="inlineStr">
        <is>
          <t>UN</t>
        </is>
      </c>
      <c r="F234" s="19" t="n">
        <v>8.0</v>
      </c>
      <c r="G234" s="20" t="n">
        <v>523.22</v>
      </c>
      <c r="H234" s="20" t="str">
        <f>TRUNC(G234 * (1 + 29.07 / 100), 2)</f>
      </c>
      <c r="I234" s="20" t="str">
        <f>TRUNC(F234 * h234, 2)</f>
      </c>
      <c r="J234" s="21" t="str">
        <f>i234 / 3372490.28</f>
      </c>
    </row>
    <row customHeight="1" ht="39" r="235">
      <c r="A235" s="17" t="inlineStr">
        <is>
          <t> 09.03.8 </t>
        </is>
      </c>
      <c r="B235" s="19" t="inlineStr">
        <is>
          <t> ITA0014 </t>
        </is>
      </c>
      <c r="C235" s="17" t="inlineStr">
        <is>
          <t>Próprio</t>
        </is>
      </c>
      <c r="D235" s="17" t="inlineStr">
        <is>
          <t>VASO SANITÁRIO SIFONADO COM CAIXA ACOPLADA LOUÇA BRANCA - LINHA VOGUE PLUS CONFORTO, SEM ABERTURA (P/ PCD) FORNECIMENTO E INSTALAÇÃO.</t>
        </is>
      </c>
      <c r="E235" s="18" t="inlineStr">
        <is>
          <t>UN</t>
        </is>
      </c>
      <c r="F235" s="19" t="n">
        <v>6.0</v>
      </c>
      <c r="G235" s="20" t="n">
        <v>2389.36</v>
      </c>
      <c r="H235" s="20" t="str">
        <f>TRUNC(G235 * (1 + 29.07 / 100), 2)</f>
      </c>
      <c r="I235" s="20" t="str">
        <f>TRUNC(F235 * h235, 2)</f>
      </c>
      <c r="J235" s="21" t="str">
        <f>i235 / 3372490.28</f>
      </c>
    </row>
    <row customHeight="1" ht="26" r="236">
      <c r="A236" s="17" t="inlineStr">
        <is>
          <t> 09.03.9 </t>
        </is>
      </c>
      <c r="B236" s="19" t="inlineStr">
        <is>
          <t> ITA0015 </t>
        </is>
      </c>
      <c r="C236" s="17" t="inlineStr">
        <is>
          <t>Próprio</t>
        </is>
      </c>
      <c r="D236" s="17" t="inlineStr">
        <is>
          <t>BANCADA DE GRANITO CINZA POLIDO E=2,5CM,  PARA BANCADA DE WC - FORNECIMENTO E INSTALAÇÃO.</t>
        </is>
      </c>
      <c r="E236" s="18" t="inlineStr">
        <is>
          <t>m²</t>
        </is>
      </c>
      <c r="F236" s="19" t="n">
        <v>6.6</v>
      </c>
      <c r="G236" s="20" t="n">
        <v>879.62</v>
      </c>
      <c r="H236" s="20" t="str">
        <f>TRUNC(G236 * (1 + 29.07 / 100), 2)</f>
      </c>
      <c r="I236" s="20" t="str">
        <f>TRUNC(F236 * h236, 2)</f>
      </c>
      <c r="J236" s="21" t="str">
        <f>i236 / 3372490.28</f>
      </c>
    </row>
    <row customHeight="1" ht="39" r="237">
      <c r="A237" s="17" t="inlineStr">
        <is>
          <t> 09.03.10 </t>
        </is>
      </c>
      <c r="B237" s="19" t="inlineStr">
        <is>
          <t> 86909 </t>
        </is>
      </c>
      <c r="C237" s="17" t="inlineStr">
        <is>
          <t>SINAPI</t>
        </is>
      </c>
      <c r="D237" s="17" t="inlineStr">
        <is>
          <t>TORNEIRA CROMADA TUBO MÓVEL, DE MESA, 1/2" OU 3/4", PARA PIA DE COZINHA, PADRÃO ALTO - FORNECIMENTO E INSTALAÇÃO. AF_01/2020</t>
        </is>
      </c>
      <c r="E237" s="18" t="inlineStr">
        <is>
          <t>UN</t>
        </is>
      </c>
      <c r="F237" s="19" t="n">
        <v>2.0</v>
      </c>
      <c r="G237" s="20" t="n">
        <v>135.94</v>
      </c>
      <c r="H237" s="20" t="str">
        <f>TRUNC(G237 * (1 + 29.07 / 100), 2)</f>
      </c>
      <c r="I237" s="20" t="str">
        <f>TRUNC(F237 * h237, 2)</f>
      </c>
      <c r="J237" s="21" t="str">
        <f>i237 / 3372490.28</f>
      </c>
    </row>
    <row customHeight="1" ht="26" r="238">
      <c r="A238" s="17" t="inlineStr">
        <is>
          <t> 09.03.11 </t>
        </is>
      </c>
      <c r="B238" s="19" t="inlineStr">
        <is>
          <t> 100875 </t>
        </is>
      </c>
      <c r="C238" s="17" t="inlineStr">
        <is>
          <t>SINAPI</t>
        </is>
      </c>
      <c r="D238" s="17" t="inlineStr">
        <is>
          <t>BANCO ARTICULADO, EM ACO INOX, PARA PCD, FIXADO NA PAREDE - FORNECIMENTO E INSTALAÇÃO. AF_01/2020</t>
        </is>
      </c>
      <c r="E238" s="18" t="inlineStr">
        <is>
          <t>UN</t>
        </is>
      </c>
      <c r="F238" s="19" t="n">
        <v>2.0</v>
      </c>
      <c r="G238" s="20" t="n">
        <v>955.73</v>
      </c>
      <c r="H238" s="20" t="str">
        <f>TRUNC(G238 * (1 + 29.07 / 100), 2)</f>
      </c>
      <c r="I238" s="20" t="str">
        <f>TRUNC(F238 * h238, 2)</f>
      </c>
      <c r="J238" s="21" t="str">
        <f>i238 / 3372490.28</f>
      </c>
    </row>
    <row customHeight="1" ht="39" r="239">
      <c r="A239" s="17" t="inlineStr">
        <is>
          <t> 09.03.12 </t>
        </is>
      </c>
      <c r="B239" s="19" t="inlineStr">
        <is>
          <t> 100868 </t>
        </is>
      </c>
      <c r="C239" s="17" t="inlineStr">
        <is>
          <t>SINAPI</t>
        </is>
      </c>
      <c r="D239" s="17" t="inlineStr">
        <is>
          <t>BARRA DE APOIO RETA, EM ACO INOX POLIDO, COMPRIMENTO 80 CM,  FIXADA NA PAREDE - FORNECIMENTO E INSTALAÇÃO. AF_01/2020</t>
        </is>
      </c>
      <c r="E239" s="18" t="inlineStr">
        <is>
          <t>UN</t>
        </is>
      </c>
      <c r="F239" s="19" t="n">
        <v>18.0</v>
      </c>
      <c r="G239" s="20" t="n">
        <v>320.39</v>
      </c>
      <c r="H239" s="20" t="str">
        <f>TRUNC(G239 * (1 + 29.07 / 100), 2)</f>
      </c>
      <c r="I239" s="20" t="str">
        <f>TRUNC(F239 * h239, 2)</f>
      </c>
      <c r="J239" s="21" t="str">
        <f>i239 / 3372490.28</f>
      </c>
    </row>
    <row customHeight="1" ht="39" r="240">
      <c r="A240" s="17" t="inlineStr">
        <is>
          <t> 09.03.13 </t>
        </is>
      </c>
      <c r="B240" s="19" t="inlineStr">
        <is>
          <t> ITA0016 </t>
        </is>
      </c>
      <c r="C240" s="17" t="inlineStr">
        <is>
          <t>Próprio</t>
        </is>
      </c>
      <c r="D240" s="17" t="inlineStr">
        <is>
          <t>BARRA DE APOIO, PARA LAVATÓRIO, FIXA, CONSTITUIDA DE DUAS BARRAS LATERAIS EM "U", EM AÇO INOX,  D=1 1/4"</t>
        </is>
      </c>
      <c r="E240" s="18" t="inlineStr">
        <is>
          <t>cj</t>
        </is>
      </c>
      <c r="F240" s="19" t="n">
        <v>6.0</v>
      </c>
      <c r="G240" s="20" t="n">
        <v>411.72</v>
      </c>
      <c r="H240" s="20" t="str">
        <f>TRUNC(G240 * (1 + 29.07 / 100), 2)</f>
      </c>
      <c r="I240" s="20" t="str">
        <f>TRUNC(F240 * h240, 2)</f>
      </c>
      <c r="J240" s="21" t="str">
        <f>i240 / 3372490.28</f>
      </c>
    </row>
    <row customHeight="1" ht="52" r="241">
      <c r="A241" s="17" t="inlineStr">
        <is>
          <t> 09.03.14 </t>
        </is>
      </c>
      <c r="B241" s="19" t="inlineStr">
        <is>
          <t> ITA0017 </t>
        </is>
      </c>
      <c r="C241" s="17" t="inlineStr">
        <is>
          <t>Próprio</t>
        </is>
      </c>
      <c r="D241" s="17" t="inlineStr">
        <is>
          <t>BANCADA EM AÇO INOX - 304, DIMENSÕES 2,40 X 0,60M C/ 02 CUBAS 50X40X25CM, RODOPIA 10CM, CONCRETADA, INCLUSIVE VÁLVULA, SIFÃO CROMADOS, EXCLUSIVE TORNEIRA</t>
        </is>
      </c>
      <c r="E241" s="18" t="inlineStr">
        <is>
          <t>un</t>
        </is>
      </c>
      <c r="F241" s="19" t="n">
        <v>1.0</v>
      </c>
      <c r="G241" s="20" t="n">
        <v>3673.25</v>
      </c>
      <c r="H241" s="20" t="str">
        <f>TRUNC(G241 * (1 + 29.07 / 100), 2)</f>
      </c>
      <c r="I241" s="20" t="str">
        <f>TRUNC(F241 * h241, 2)</f>
      </c>
      <c r="J241" s="21" t="str">
        <f>i241 / 3372490.28</f>
      </c>
    </row>
    <row customHeight="1" ht="39" r="242">
      <c r="A242" s="17" t="inlineStr">
        <is>
          <t> 09.03.15 </t>
        </is>
      </c>
      <c r="B242" s="19" t="inlineStr">
        <is>
          <t> 94792 </t>
        </is>
      </c>
      <c r="C242" s="17" t="inlineStr">
        <is>
          <t>SINAPI</t>
        </is>
      </c>
      <c r="D242" s="17" t="inlineStr">
        <is>
          <t>REGISTRO DE GAVETA BRUTO, LATÃO, ROSCÁVEL, 1", COM ACABAMENTO E CANOPLA CROMADOS - FORNECIMENTO E INSTALAÇÃO. AF_08/2021</t>
        </is>
      </c>
      <c r="E242" s="18" t="inlineStr">
        <is>
          <t>UN</t>
        </is>
      </c>
      <c r="F242" s="19" t="n">
        <v>10.0</v>
      </c>
      <c r="G242" s="20" t="n">
        <v>116.43</v>
      </c>
      <c r="H242" s="20" t="str">
        <f>TRUNC(G242 * (1 + 29.07 / 100), 2)</f>
      </c>
      <c r="I242" s="20" t="str">
        <f>TRUNC(F242 * h242, 2)</f>
      </c>
      <c r="J242" s="21" t="str">
        <f>i242 / 3372490.28</f>
      </c>
    </row>
    <row customHeight="1" ht="39" r="243">
      <c r="A243" s="17" t="inlineStr">
        <is>
          <t> 09.03.16 </t>
        </is>
      </c>
      <c r="B243" s="19" t="inlineStr">
        <is>
          <t> 89984 </t>
        </is>
      </c>
      <c r="C243" s="17" t="inlineStr">
        <is>
          <t>SINAPI</t>
        </is>
      </c>
      <c r="D243" s="17" t="inlineStr">
        <is>
          <t>REGISTRO DE PRESSÃO BRUTO, LATÃO, ROSCÁVEL, 1/2", COM ACABAMENTO E CANOPLA CROMADOS - FORNECIMENTO E INSTALAÇÃO. AF_08/2021</t>
        </is>
      </c>
      <c r="E243" s="18" t="inlineStr">
        <is>
          <t>UN</t>
        </is>
      </c>
      <c r="F243" s="19" t="n">
        <v>2.0</v>
      </c>
      <c r="G243" s="20" t="n">
        <v>86.24</v>
      </c>
      <c r="H243" s="20" t="str">
        <f>TRUNC(G243 * (1 + 29.07 / 100), 2)</f>
      </c>
      <c r="I243" s="20" t="str">
        <f>TRUNC(F243 * h243, 2)</f>
      </c>
      <c r="J243" s="21" t="str">
        <f>i243 / 3372490.28</f>
      </c>
    </row>
    <row customHeight="1" ht="39" r="244">
      <c r="A244" s="17" t="inlineStr">
        <is>
          <t> 09.03.17 </t>
        </is>
      </c>
      <c r="B244" s="19" t="inlineStr">
        <is>
          <t> 95547 </t>
        </is>
      </c>
      <c r="C244" s="17" t="inlineStr">
        <is>
          <t>SINAPI</t>
        </is>
      </c>
      <c r="D244" s="17" t="inlineStr">
        <is>
          <t>SABONETEIRA PLASTICA TIPO DISPENSER PARA SABONETE LIQUIDO COM RESERVATORIO 800 A 1500 ML, INCLUSO FIXAÇÃO. AF_01/2020</t>
        </is>
      </c>
      <c r="E244" s="18" t="inlineStr">
        <is>
          <t>UN</t>
        </is>
      </c>
      <c r="F244" s="19" t="n">
        <v>15.0</v>
      </c>
      <c r="G244" s="20" t="n">
        <v>68.08</v>
      </c>
      <c r="H244" s="20" t="str">
        <f>TRUNC(G244 * (1 + 29.07 / 100), 2)</f>
      </c>
      <c r="I244" s="20" t="str">
        <f>TRUNC(F244 * h244, 2)</f>
      </c>
      <c r="J244" s="21" t="str">
        <f>i244 / 3372490.28</f>
      </c>
    </row>
    <row customHeight="1" ht="24" r="245">
      <c r="A245" s="17" t="inlineStr">
        <is>
          <t> 09.03.18 </t>
        </is>
      </c>
      <c r="B245" s="19" t="inlineStr">
        <is>
          <t> SEMAP 04.01.061 </t>
        </is>
      </c>
      <c r="C245" s="17" t="inlineStr">
        <is>
          <t>Próprio</t>
        </is>
      </c>
      <c r="D245" s="17" t="inlineStr">
        <is>
          <t>DISPENSER PARA PAPEL TOALHA INTERFOLHADA</t>
        </is>
      </c>
      <c r="E245" s="18" t="inlineStr">
        <is>
          <t>un</t>
        </is>
      </c>
      <c r="F245" s="19" t="n">
        <v>15.0</v>
      </c>
      <c r="G245" s="20" t="n">
        <v>53.31</v>
      </c>
      <c r="H245" s="20" t="str">
        <f>TRUNC(G245 * (1 + 29.07 / 100), 2)</f>
      </c>
      <c r="I245" s="20" t="str">
        <f>TRUNC(F245 * h245, 2)</f>
      </c>
      <c r="J245" s="21" t="str">
        <f>i245 / 3372490.28</f>
      </c>
    </row>
    <row customHeight="1" ht="26" r="246">
      <c r="A246" s="17" t="inlineStr">
        <is>
          <t> 09.03.19 </t>
        </is>
      </c>
      <c r="B246" s="19" t="inlineStr">
        <is>
          <t> SEMAI 04.01.090 </t>
        </is>
      </c>
      <c r="C246" s="17" t="inlineStr">
        <is>
          <t>Próprio</t>
        </is>
      </c>
      <c r="D246" s="17" t="inlineStr">
        <is>
          <t>DISPENSER PLASTICO PAPEL HIGIENICO ROLAO - FORNECIMENTO E INSTALAÇÃO</t>
        </is>
      </c>
      <c r="E246" s="18" t="inlineStr">
        <is>
          <t>UND</t>
        </is>
      </c>
      <c r="F246" s="19" t="n">
        <v>14.0</v>
      </c>
      <c r="G246" s="20" t="n">
        <v>63.62</v>
      </c>
      <c r="H246" s="20" t="str">
        <f>TRUNC(G246 * (1 + 29.07 / 100), 2)</f>
      </c>
      <c r="I246" s="20" t="str">
        <f>TRUNC(F246 * h246, 2)</f>
      </c>
      <c r="J246" s="21" t="str">
        <f>i246 / 3372490.28</f>
      </c>
    </row>
    <row customHeight="1" ht="26" r="247">
      <c r="A247" s="17" t="inlineStr">
        <is>
          <t> 09.03.20 </t>
        </is>
      </c>
      <c r="B247" s="19" t="inlineStr">
        <is>
          <t> 85005 </t>
        </is>
      </c>
      <c r="C247" s="17" t="inlineStr">
        <is>
          <t>SINAPI</t>
        </is>
      </c>
      <c r="D247" s="17" t="inlineStr">
        <is>
          <t>ESPELHO CRISTAL, ESPESSURA 4MM, COM PARAFUSOS DE FIXACAO, SEM MOLDURA</t>
        </is>
      </c>
      <c r="E247" s="18" t="inlineStr">
        <is>
          <t>m²</t>
        </is>
      </c>
      <c r="F247" s="19" t="n">
        <v>9.64</v>
      </c>
      <c r="G247" s="20" t="n">
        <v>693.26</v>
      </c>
      <c r="H247" s="20" t="str">
        <f>TRUNC(G247 * (1 + 29.07 / 100), 2)</f>
      </c>
      <c r="I247" s="20" t="str">
        <f>TRUNC(F247 * h247, 2)</f>
      </c>
      <c r="J247" s="21" t="str">
        <f>i247 / 3372490.28</f>
      </c>
    </row>
    <row customHeight="1" ht="24" r="248">
      <c r="A248" s="9" t="inlineStr">
        <is>
          <t> 09.04 </t>
        </is>
      </c>
      <c r="B248" s="9"/>
      <c r="C248" s="9"/>
      <c r="D248" s="9" t="inlineStr">
        <is>
          <t>INSTALAÇÕES PLUVIAIS</t>
        </is>
      </c>
      <c r="E248" s="9"/>
      <c r="F248" s="11"/>
      <c r="G248" s="9"/>
      <c r="H248" s="9"/>
      <c r="I248" s="12" t="n">
        <v>6225.97</v>
      </c>
      <c r="J248" s="13" t="str">
        <f>i248 / 3372490.28</f>
      </c>
    </row>
    <row customHeight="1" ht="39" r="249">
      <c r="A249" s="17" t="inlineStr">
        <is>
          <t> 09.04.1 </t>
        </is>
      </c>
      <c r="B249" s="19" t="inlineStr">
        <is>
          <t> 89578 </t>
        </is>
      </c>
      <c r="C249" s="17" t="inlineStr">
        <is>
          <t>SINAPI</t>
        </is>
      </c>
      <c r="D249" s="17" t="inlineStr">
        <is>
          <t>TUBO PVC, SÉRIE R, ÁGUA PLUVIAL, DN 100 MM, FORNECIDO E INSTALADO EM CONDUTORES VERTICAIS DE ÁGUAS PLUVIAIS. AF_06/2022</t>
        </is>
      </c>
      <c r="E249" s="18" t="inlineStr">
        <is>
          <t>M</t>
        </is>
      </c>
      <c r="F249" s="19" t="n">
        <v>11.25</v>
      </c>
      <c r="G249" s="20" t="n">
        <v>27.22</v>
      </c>
      <c r="H249" s="20" t="str">
        <f>TRUNC(G249 * (1 + 29.07 / 100), 2)</f>
      </c>
      <c r="I249" s="20" t="str">
        <f>TRUNC(F249 * h249, 2)</f>
      </c>
      <c r="J249" s="21" t="str">
        <f>i249 / 3372490.28</f>
      </c>
    </row>
    <row customHeight="1" ht="39" r="250">
      <c r="A250" s="17" t="inlineStr">
        <is>
          <t> 09.04.2 </t>
        </is>
      </c>
      <c r="B250" s="19" t="inlineStr">
        <is>
          <t> 89580 </t>
        </is>
      </c>
      <c r="C250" s="17" t="inlineStr">
        <is>
          <t>SINAPI</t>
        </is>
      </c>
      <c r="D250" s="17" t="inlineStr">
        <is>
          <t>TUBO PVC, SÉRIE R, ÁGUA PLUVIAL, DN 150 MM, FORNECIDO E INSTALADO EM CONDUTORES VERTICAIS DE ÁGUAS PLUVIAIS. AF_06/2022</t>
        </is>
      </c>
      <c r="E250" s="18" t="inlineStr">
        <is>
          <t>M</t>
        </is>
      </c>
      <c r="F250" s="19" t="n">
        <v>3.75</v>
      </c>
      <c r="G250" s="20" t="n">
        <v>56.03</v>
      </c>
      <c r="H250" s="20" t="str">
        <f>TRUNC(G250 * (1 + 29.07 / 100), 2)</f>
      </c>
      <c r="I250" s="20" t="str">
        <f>TRUNC(F250 * h250, 2)</f>
      </c>
      <c r="J250" s="21" t="str">
        <f>i250 / 3372490.28</f>
      </c>
    </row>
    <row customHeight="1" ht="39" r="251">
      <c r="A251" s="17" t="inlineStr">
        <is>
          <t> 09.04.3 </t>
        </is>
      </c>
      <c r="B251" s="19" t="inlineStr">
        <is>
          <t> 89512 </t>
        </is>
      </c>
      <c r="C251" s="17" t="inlineStr">
        <is>
          <t>SINAPI</t>
        </is>
      </c>
      <c r="D251" s="17" t="inlineStr">
        <is>
          <t>TUBO PVC, SÉRIE R, ÁGUA PLUVIAL, DN 100 MM, FORNECIDO E INSTALADO EM RAMAL DE ENCAMINHAMENTO. AF_06/2022</t>
        </is>
      </c>
      <c r="E251" s="18" t="inlineStr">
        <is>
          <t>M</t>
        </is>
      </c>
      <c r="F251" s="19" t="n">
        <v>7.5</v>
      </c>
      <c r="G251" s="20" t="n">
        <v>43.33</v>
      </c>
      <c r="H251" s="20" t="str">
        <f>TRUNC(G251 * (1 + 29.07 / 100), 2)</f>
      </c>
      <c r="I251" s="20" t="str">
        <f>TRUNC(F251 * h251, 2)</f>
      </c>
      <c r="J251" s="21" t="str">
        <f>i251 / 3372490.28</f>
      </c>
    </row>
    <row customHeight="1" ht="39" r="252">
      <c r="A252" s="17" t="inlineStr">
        <is>
          <t> 09.04.4 </t>
        </is>
      </c>
      <c r="B252" s="19" t="inlineStr">
        <is>
          <t> 104166 </t>
        </is>
      </c>
      <c r="C252" s="17" t="inlineStr">
        <is>
          <t>SINAPI</t>
        </is>
      </c>
      <c r="D252" s="17" t="inlineStr">
        <is>
          <t>TUBO PVC, SÉRIE R, ÁGUA PLUVIAL, DN 150 MM, FORNECIDO E INSTALADO EM RAMAL DE ENCAMINHAMENTO. AF_06/2022</t>
        </is>
      </c>
      <c r="E252" s="18" t="inlineStr">
        <is>
          <t>M</t>
        </is>
      </c>
      <c r="F252" s="19" t="n">
        <v>13.0</v>
      </c>
      <c r="G252" s="20" t="n">
        <v>61.97</v>
      </c>
      <c r="H252" s="20" t="str">
        <f>TRUNC(G252 * (1 + 29.07 / 100), 2)</f>
      </c>
      <c r="I252" s="20" t="str">
        <f>TRUNC(F252 * h252, 2)</f>
      </c>
      <c r="J252" s="21" t="str">
        <f>i252 / 3372490.28</f>
      </c>
    </row>
    <row customHeight="1" ht="39" r="253">
      <c r="A253" s="17" t="inlineStr">
        <is>
          <t> 09.04.5 </t>
        </is>
      </c>
      <c r="B253" s="19" t="inlineStr">
        <is>
          <t> 99264 </t>
        </is>
      </c>
      <c r="C253" s="17" t="inlineStr">
        <is>
          <t>SINAPI</t>
        </is>
      </c>
      <c r="D253" s="17" t="inlineStr">
        <is>
          <t>CAIXA ENTERRADA HIDRÁULICA RETANGULAR, EM ALVENARIA COM BLOCOS DE CONCRETO, DIMENSÕES INTERNAS: 1X1X0,6 M PARA REDE DE DRENAGEM. AF_12/2020</t>
        </is>
      </c>
      <c r="E253" s="18" t="inlineStr">
        <is>
          <t>UN</t>
        </is>
      </c>
      <c r="F253" s="19" t="n">
        <v>2.0</v>
      </c>
      <c r="G253" s="20" t="n">
        <v>726.24</v>
      </c>
      <c r="H253" s="20" t="str">
        <f>TRUNC(G253 * (1 + 29.07 / 100), 2)</f>
      </c>
      <c r="I253" s="20" t="str">
        <f>TRUNC(F253 * h253, 2)</f>
      </c>
      <c r="J253" s="21" t="str">
        <f>i253 / 3372490.28</f>
      </c>
    </row>
    <row customHeight="1" ht="65" r="254">
      <c r="A254" s="17" t="inlineStr">
        <is>
          <t> 09.04.6 </t>
        </is>
      </c>
      <c r="B254" s="19" t="inlineStr">
        <is>
          <t> 91181 </t>
        </is>
      </c>
      <c r="C254" s="17" t="inlineStr">
        <is>
          <t>SINAPI</t>
        </is>
      </c>
      <c r="D254" s="17" t="inlineStr">
        <is>
          <t>FIXAÇÃO DE TUBOS HORIZONTAIS DE  PVC ÁGUA/PVC ESGOTO/PVC PLUVIAL/CPVC/PPR/COBRE OU AÇO, DIÂMETROS MAIORES QUE 75 MM E MENORES OU IGUAIS A 100 MM, COM ABRAÇADEIRA TIPO  D  COM PARAFUSO DE FIXAÇÃO 4", FIXADA DIRETAMENTE NA LAJE OU PAREDE. AF_09/2023</t>
        </is>
      </c>
      <c r="E254" s="18" t="inlineStr">
        <is>
          <t>M</t>
        </is>
      </c>
      <c r="F254" s="19" t="n">
        <v>3.0</v>
      </c>
      <c r="G254" s="20" t="n">
        <v>25.07</v>
      </c>
      <c r="H254" s="20" t="str">
        <f>TRUNC(G254 * (1 + 29.07 / 100), 2)</f>
      </c>
      <c r="I254" s="20" t="str">
        <f>TRUNC(F254 * h254, 2)</f>
      </c>
      <c r="J254" s="21" t="str">
        <f>i254 / 3372490.28</f>
      </c>
    </row>
    <row customHeight="1" ht="39" r="255">
      <c r="A255" s="17" t="inlineStr">
        <is>
          <t> 09.04.7 </t>
        </is>
      </c>
      <c r="B255" s="19" t="inlineStr">
        <is>
          <t> 91192 </t>
        </is>
      </c>
      <c r="C255" s="17" t="inlineStr">
        <is>
          <t>SINAPI</t>
        </is>
      </c>
      <c r="D255" s="17" t="inlineStr">
        <is>
          <t>CHUMBAMENTO PONTUAL EM PASSAGEM DE TUBO COM DIÂMETRO MAIOR QUE 75 MM E MENORES OU IGUAIS A 150 MM. AF_09/2023</t>
        </is>
      </c>
      <c r="E255" s="18" t="inlineStr">
        <is>
          <t>UN</t>
        </is>
      </c>
      <c r="F255" s="19" t="n">
        <v>2.0</v>
      </c>
      <c r="G255" s="20" t="n">
        <v>22.23</v>
      </c>
      <c r="H255" s="20" t="str">
        <f>TRUNC(G255 * (1 + 29.07 / 100), 2)</f>
      </c>
      <c r="I255" s="20" t="str">
        <f>TRUNC(F255 * h255, 2)</f>
      </c>
      <c r="J255" s="21" t="str">
        <f>i255 / 3372490.28</f>
      </c>
    </row>
    <row customHeight="1" ht="26" r="256">
      <c r="A256" s="17" t="inlineStr">
        <is>
          <t> 09.04.8 </t>
        </is>
      </c>
      <c r="B256" s="19" t="inlineStr">
        <is>
          <t> 93358 </t>
        </is>
      </c>
      <c r="C256" s="17" t="inlineStr">
        <is>
          <t>SINAPI</t>
        </is>
      </c>
      <c r="D256" s="17" t="inlineStr">
        <is>
          <t>ESCAVAÇÃO MANUAL DE VALA COM PROFUNDIDADE MENOR OU IGUAL A 1,30 M. AF_02/2021</t>
        </is>
      </c>
      <c r="E256" s="18" t="inlineStr">
        <is>
          <t>m³</t>
        </is>
      </c>
      <c r="F256" s="19" t="n">
        <v>13.2</v>
      </c>
      <c r="G256" s="20" t="n">
        <v>83.86</v>
      </c>
      <c r="H256" s="20" t="str">
        <f>TRUNC(G256 * (1 + 29.07 / 100), 2)</f>
      </c>
      <c r="I256" s="20" t="str">
        <f>TRUNC(F256 * h256, 2)</f>
      </c>
      <c r="J256" s="21" t="str">
        <f>i256 / 3372490.28</f>
      </c>
    </row>
    <row customHeight="1" ht="24" r="257">
      <c r="A257" s="17" t="inlineStr">
        <is>
          <t> 09.04.9 </t>
        </is>
      </c>
      <c r="B257" s="19" t="inlineStr">
        <is>
          <t> RC0052 </t>
        </is>
      </c>
      <c r="C257" s="17" t="inlineStr">
        <is>
          <t>Próprio</t>
        </is>
      </c>
      <c r="D257" s="17" t="inlineStr">
        <is>
          <t>REGULARIZAÇÃO MANUAL</t>
        </is>
      </c>
      <c r="E257" s="18" t="inlineStr">
        <is>
          <t>m²</t>
        </is>
      </c>
      <c r="F257" s="19" t="n">
        <v>22.6</v>
      </c>
      <c r="G257" s="20" t="n">
        <v>6.36</v>
      </c>
      <c r="H257" s="20" t="str">
        <f>TRUNC(G257 * (1 + 29.07 / 100), 2)</f>
      </c>
      <c r="I257" s="20" t="str">
        <f>TRUNC(F257 * h257, 2)</f>
      </c>
      <c r="J257" s="21" t="str">
        <f>i257 / 3372490.28</f>
      </c>
    </row>
    <row customHeight="1" ht="26" r="258">
      <c r="A258" s="17" t="inlineStr">
        <is>
          <t> 09.04.10 </t>
        </is>
      </c>
      <c r="B258" s="19" t="inlineStr">
        <is>
          <t> 93382 </t>
        </is>
      </c>
      <c r="C258" s="17" t="inlineStr">
        <is>
          <t>SINAPI</t>
        </is>
      </c>
      <c r="D258" s="17" t="inlineStr">
        <is>
          <t>REATERRO MANUAL DE VALAS, COM COMPACTADOR DE SOLOS DE PERCUSSÃO. AF_08/2023</t>
        </is>
      </c>
      <c r="E258" s="18" t="inlineStr">
        <is>
          <t>m³</t>
        </is>
      </c>
      <c r="F258" s="19" t="n">
        <v>13.2</v>
      </c>
      <c r="G258" s="20" t="n">
        <v>26.85</v>
      </c>
      <c r="H258" s="20" t="str">
        <f>TRUNC(G258 * (1 + 29.07 / 100), 2)</f>
      </c>
      <c r="I258" s="20" t="str">
        <f>TRUNC(F258 * h258, 2)</f>
      </c>
      <c r="J258" s="21" t="str">
        <f>i258 / 3372490.28</f>
      </c>
    </row>
    <row customHeight="1" ht="24" r="259">
      <c r="A259" s="9" t="inlineStr">
        <is>
          <t> 10 </t>
        </is>
      </c>
      <c r="B259" s="9"/>
      <c r="C259" s="9"/>
      <c r="D259" s="9" t="inlineStr">
        <is>
          <t>INSTALAÇÕES PREVENÇÃO E COMBATE A INCÊNDIO</t>
        </is>
      </c>
      <c r="E259" s="9"/>
      <c r="F259" s="11"/>
      <c r="G259" s="9"/>
      <c r="H259" s="9"/>
      <c r="I259" s="12" t="n">
        <v>102265.81</v>
      </c>
      <c r="J259" s="13" t="str">
        <f>i259 / 3372490.28</f>
      </c>
    </row>
    <row customHeight="1" ht="24" r="260">
      <c r="A260" s="9" t="inlineStr">
        <is>
          <t> 10.1 </t>
        </is>
      </c>
      <c r="B260" s="9"/>
      <c r="C260" s="9"/>
      <c r="D260" s="9" t="inlineStr">
        <is>
          <t>EXTINTORES</t>
        </is>
      </c>
      <c r="E260" s="9"/>
      <c r="F260" s="11"/>
      <c r="G260" s="9"/>
      <c r="H260" s="9"/>
      <c r="I260" s="12" t="n">
        <v>5059.17</v>
      </c>
      <c r="J260" s="13" t="str">
        <f>i260 / 3372490.28</f>
      </c>
    </row>
    <row customHeight="1" ht="39" r="261">
      <c r="A261" s="17" t="inlineStr">
        <is>
          <t> 10.1.1 </t>
        </is>
      </c>
      <c r="B261" s="19" t="inlineStr">
        <is>
          <t> ITA0018 </t>
        </is>
      </c>
      <c r="C261" s="17" t="inlineStr">
        <is>
          <t>Próprio</t>
        </is>
      </c>
      <c r="D261" s="17" t="inlineStr">
        <is>
          <t>EXTINTOR DE INCÊNDIO PORTÁTIL DE 6 KG, CLASSE ABC, SUPORTE DE FIXAÇÃO EM PAREDE - FORNECIMENTO E INSTALAÇÃO.</t>
        </is>
      </c>
      <c r="E261" s="18" t="inlineStr">
        <is>
          <t>UN</t>
        </is>
      </c>
      <c r="F261" s="19" t="n">
        <v>12.0</v>
      </c>
      <c r="G261" s="20" t="n">
        <v>253.76</v>
      </c>
      <c r="H261" s="20" t="str">
        <f>TRUNC(G261 * (1 + 29.07 / 100), 2)</f>
      </c>
      <c r="I261" s="20" t="str">
        <f>TRUNC(F261 * h261, 2)</f>
      </c>
      <c r="J261" s="21" t="str">
        <f>i261 / 3372490.28</f>
      </c>
    </row>
    <row customHeight="1" ht="26" r="262">
      <c r="A262" s="17" t="inlineStr">
        <is>
          <t> 10.1.2 </t>
        </is>
      </c>
      <c r="B262" s="19" t="inlineStr">
        <is>
          <t> ITA0019 </t>
        </is>
      </c>
      <c r="C262" s="17" t="inlineStr">
        <is>
          <t>Próprio</t>
        </is>
      </c>
      <c r="D262" s="17" t="inlineStr">
        <is>
          <t>EXTINTOR DE INCÊNDIO PORTÁTIL DE 6 KG, CLASSE ABC, SUPORTE DE PISO - FORNECIMENTO E INSTALAÇÃO.</t>
        </is>
      </c>
      <c r="E262" s="18" t="inlineStr">
        <is>
          <t>UN</t>
        </is>
      </c>
      <c r="F262" s="19" t="n">
        <v>3.0</v>
      </c>
      <c r="G262" s="20" t="n">
        <v>291.56</v>
      </c>
      <c r="H262" s="20" t="str">
        <f>TRUNC(G262 * (1 + 29.07 / 100), 2)</f>
      </c>
      <c r="I262" s="20" t="str">
        <f>TRUNC(F262 * h262, 2)</f>
      </c>
      <c r="J262" s="21" t="str">
        <f>i262 / 3372490.28</f>
      </c>
    </row>
    <row customHeight="1" ht="24" r="263">
      <c r="A263" s="9" t="inlineStr">
        <is>
          <t> 10.2 </t>
        </is>
      </c>
      <c r="B263" s="9"/>
      <c r="C263" s="9"/>
      <c r="D263" s="9" t="inlineStr">
        <is>
          <t>SINALIZAÇÃO</t>
        </is>
      </c>
      <c r="E263" s="9"/>
      <c r="F263" s="11"/>
      <c r="G263" s="9"/>
      <c r="H263" s="9"/>
      <c r="I263" s="12" t="n">
        <v>153.94</v>
      </c>
      <c r="J263" s="13" t="str">
        <f>i263 / 3372490.28</f>
      </c>
    </row>
    <row customHeight="1" ht="65" r="264">
      <c r="A264" s="17" t="inlineStr">
        <is>
          <t> 10.2.1 </t>
        </is>
      </c>
      <c r="B264" s="19" t="inlineStr">
        <is>
          <t> IP0123 </t>
        </is>
      </c>
      <c r="C264" s="17" t="inlineStr">
        <is>
          <t>Próprio</t>
        </is>
      </c>
      <c r="D264" s="17" t="inlineStr">
        <is>
          <t>PLACA DE SINALIZAÇÃO DE EMERGÊNCIA EM PVC EXPANDIDO BRANCO,DE 2MM DE ESPESSURA COM SÍMBOLO EM FORMATO RETANGULAR,COM APLICAÇÃO EM VINIL ,FUNDO NA COR VERMELHO COM PICTOGRAMA FOTOLUMINESCENTE. DIMENSÕES: L = 26X13CM - FORNECIMENTO E INSTALAÇÃO</t>
        </is>
      </c>
      <c r="E264" s="18" t="inlineStr">
        <is>
          <t>UND</t>
        </is>
      </c>
      <c r="F264" s="19" t="n">
        <v>1.0</v>
      </c>
      <c r="G264" s="20" t="n">
        <v>25.87</v>
      </c>
      <c r="H264" s="20" t="str">
        <f>TRUNC(G264 * (1 + 29.07 / 100), 2)</f>
      </c>
      <c r="I264" s="20" t="str">
        <f>TRUNC(F264 * h264, 2)</f>
      </c>
      <c r="J264" s="21" t="str">
        <f>i264 / 3372490.28</f>
      </c>
    </row>
    <row customHeight="1" ht="65" r="265">
      <c r="A265" s="17" t="inlineStr">
        <is>
          <t> 10.2.2 </t>
        </is>
      </c>
      <c r="B265" s="19" t="inlineStr">
        <is>
          <t> IP0122 </t>
        </is>
      </c>
      <c r="C265" s="17" t="inlineStr">
        <is>
          <t>Próprio</t>
        </is>
      </c>
      <c r="D265" s="17" t="inlineStr">
        <is>
          <t>PLACA DE SINALIZAÇÃO DE ALERTA EM PVC EXPANDIDO BRANCO, DE 2 MM DE ESPESSURA COM SÍMBOLO EM FORMATO TRIANGULAR, COM APLICAÇÃO EM VINIL, FUNDO NA COR AMARELA COM PICTOGRAMA E FAIXA PRETA - DIMENSÕES: BASE 30 CM - FORNECIMENTO E INSTALAÇÃO</t>
        </is>
      </c>
      <c r="E265" s="18" t="inlineStr">
        <is>
          <t>UND</t>
        </is>
      </c>
      <c r="F265" s="19" t="n">
        <v>1.0</v>
      </c>
      <c r="G265" s="20" t="n">
        <v>45.5</v>
      </c>
      <c r="H265" s="20" t="str">
        <f>TRUNC(G265 * (1 + 29.07 / 100), 2)</f>
      </c>
      <c r="I265" s="20" t="str">
        <f>TRUNC(F265 * h265, 2)</f>
      </c>
      <c r="J265" s="21" t="str">
        <f>i265 / 3372490.28</f>
      </c>
    </row>
    <row customHeight="1" ht="65" r="266">
      <c r="A266" s="17" t="inlineStr">
        <is>
          <t> 10.2.3 </t>
        </is>
      </c>
      <c r="B266" s="19" t="inlineStr">
        <is>
          <t> VAL0007 </t>
        </is>
      </c>
      <c r="C266" s="17" t="inlineStr">
        <is>
          <t>Próprio</t>
        </is>
      </c>
      <c r="D266" s="17" t="inlineStr">
        <is>
          <t>PLACA DE SINALIZAÇÃO DE EMERGÊNCIA EM PVC EXPANDIDO BRANCO,DE 2MM DE ESPESSURA COM SÍMBOLO EM FORMATO QUADRADO,COM APLICAÇÃO EM VINIL ,FUNDO NA COR VERMELHO COM PICTOGRAMA FOTOLUMINESCENTE.DIMENSÕES: L = 20x20CM - EQUIPAMENTOS</t>
        </is>
      </c>
      <c r="E266" s="18" t="inlineStr">
        <is>
          <t>UND</t>
        </is>
      </c>
      <c r="F266" s="19" t="n">
        <v>1.0</v>
      </c>
      <c r="G266" s="20" t="n">
        <v>29.26</v>
      </c>
      <c r="H266" s="20" t="str">
        <f>TRUNC(G266 * (1 + 29.07 / 100), 2)</f>
      </c>
      <c r="I266" s="20" t="str">
        <f>TRUNC(F266 * h266, 2)</f>
      </c>
      <c r="J266" s="21" t="str">
        <f>i266 / 3372490.28</f>
      </c>
    </row>
    <row customHeight="1" ht="39" r="267">
      <c r="A267" s="17" t="inlineStr">
        <is>
          <t> 10.2.4 </t>
        </is>
      </c>
      <c r="B267" s="19" t="inlineStr">
        <is>
          <t> SEMAP 00.05.004 </t>
        </is>
      </c>
      <c r="C267" s="17" t="inlineStr">
        <is>
          <t>Próprio</t>
        </is>
      </c>
      <c r="D267" s="17" t="inlineStr">
        <is>
          <t>PLACA DE SINALIZACAO, FOTOLUMINESCENTE, EM PVC , COM LOGOTIPO "CUIDADO RISCO DE CHOQUE ELÉTRICO"- PLACA A5</t>
        </is>
      </c>
      <c r="E267" s="18" t="inlineStr">
        <is>
          <t>un</t>
        </is>
      </c>
      <c r="F267" s="19" t="n">
        <v>1.0</v>
      </c>
      <c r="G267" s="20" t="n">
        <v>18.65</v>
      </c>
      <c r="H267" s="20" t="str">
        <f>TRUNC(G267 * (1 + 29.07 / 100), 2)</f>
      </c>
      <c r="I267" s="20" t="str">
        <f>TRUNC(F267 * h267, 2)</f>
      </c>
      <c r="J267" s="21" t="str">
        <f>i267 / 3372490.28</f>
      </c>
    </row>
    <row customHeight="1" ht="24" r="268">
      <c r="A268" s="9" t="inlineStr">
        <is>
          <t> 10.3 </t>
        </is>
      </c>
      <c r="B268" s="9"/>
      <c r="C268" s="9"/>
      <c r="D268" s="9" t="inlineStr">
        <is>
          <t>HIDRANTES</t>
        </is>
      </c>
      <c r="E268" s="9"/>
      <c r="F268" s="11"/>
      <c r="G268" s="9"/>
      <c r="H268" s="9"/>
      <c r="I268" s="12" t="n">
        <v>88922.19</v>
      </c>
      <c r="J268" s="13" t="str">
        <f>i268 / 3372490.28</f>
      </c>
    </row>
    <row customHeight="1" ht="65" r="269">
      <c r="A269" s="17" t="inlineStr">
        <is>
          <t> 10.3.1 </t>
        </is>
      </c>
      <c r="B269" s="19" t="inlineStr">
        <is>
          <t> 96765 </t>
        </is>
      </c>
      <c r="C269" s="17" t="inlineStr">
        <is>
          <t>SINAPI</t>
        </is>
      </c>
      <c r="D269" s="17" t="inlineStr">
        <is>
          <t>ABRIGO PARA HIDRANTE, 90X60X17CM, COM REGISTRO GLOBO ANGULAR 45 GRAUS 2 1/2", ADAPTADOR STORZ 2 1/2", MANGUEIRA DE INCÊNDIO, REDUÇÃO 2 1/2" X 1 1/2" E ESGUICHO EM LATÃO 1 1/2" - FORNECIMENTO E INSTALAÇÃO. AF_10/2020</t>
        </is>
      </c>
      <c r="E269" s="18" t="inlineStr">
        <is>
          <t>UN</t>
        </is>
      </c>
      <c r="F269" s="19" t="n">
        <v>4.0</v>
      </c>
      <c r="G269" s="20" t="n">
        <v>2538.18</v>
      </c>
      <c r="H269" s="20" t="str">
        <f>TRUNC(G269 * (1 + 29.07 / 100), 2)</f>
      </c>
      <c r="I269" s="20" t="str">
        <f>TRUNC(F269 * h269, 2)</f>
      </c>
      <c r="J269" s="21" t="str">
        <f>i269 / 3372490.28</f>
      </c>
    </row>
    <row customHeight="1" ht="39" r="270">
      <c r="A270" s="17" t="inlineStr">
        <is>
          <t> 10.3.2 </t>
        </is>
      </c>
      <c r="B270" s="19" t="inlineStr">
        <is>
          <t> 99253 </t>
        </is>
      </c>
      <c r="C270" s="17" t="inlineStr">
        <is>
          <t>SINAPI</t>
        </is>
      </c>
      <c r="D270" s="17" t="inlineStr">
        <is>
          <t>CAIXA ENTERRADA HIDRÁULICA RETANGULAR EM ALVENARIA COM TIJOLOS CERÂMICOS MACIÇOS, DIMENSÕES INTERNAS: 0,6X0,6X0,6 M PARA REDE DE DRENAGEM. AF_12/2020</t>
        </is>
      </c>
      <c r="E270" s="18" t="inlineStr">
        <is>
          <t>UN</t>
        </is>
      </c>
      <c r="F270" s="19" t="n">
        <v>1.0</v>
      </c>
      <c r="G270" s="20" t="n">
        <v>554.29</v>
      </c>
      <c r="H270" s="20" t="str">
        <f>TRUNC(G270 * (1 + 29.07 / 100), 2)</f>
      </c>
      <c r="I270" s="20" t="str">
        <f>TRUNC(F270 * h270, 2)</f>
      </c>
      <c r="J270" s="21" t="str">
        <f>i270 / 3372490.28</f>
      </c>
    </row>
    <row customHeight="1" ht="52" r="271">
      <c r="A271" s="17" t="inlineStr">
        <is>
          <t> 10.3.3 </t>
        </is>
      </c>
      <c r="B271" s="19" t="inlineStr">
        <is>
          <t> 74169/001 </t>
        </is>
      </c>
      <c r="C271" s="17" t="inlineStr">
        <is>
          <t>SINAPI</t>
        </is>
      </c>
      <c r="D271" s="17" t="inlineStr">
        <is>
          <t>REGISTRO/VALVULA GLOBO ANGULAR 45 GRAUS EM LATAO PARA HIDRANTES DE INCÊNDIO PREDIAL DN 2.1/2, COM VOLANTE, CLASSE DE PRESSAO DE ATE 200 PSI - FORNECIMENTO E INSTALACAO</t>
        </is>
      </c>
      <c r="E271" s="18" t="inlineStr">
        <is>
          <t>UN</t>
        </is>
      </c>
      <c r="F271" s="19" t="n">
        <v>1.0</v>
      </c>
      <c r="G271" s="20" t="n">
        <v>342.59</v>
      </c>
      <c r="H271" s="20" t="str">
        <f>TRUNC(G271 * (1 + 29.07 / 100), 2)</f>
      </c>
      <c r="I271" s="20" t="str">
        <f>TRUNC(F271 * h271, 2)</f>
      </c>
      <c r="J271" s="21" t="str">
        <f>i271 / 3372490.28</f>
      </c>
    </row>
    <row customHeight="1" ht="26" r="272">
      <c r="A272" s="17" t="inlineStr">
        <is>
          <t> 10.3.4 </t>
        </is>
      </c>
      <c r="B272" s="19" t="inlineStr">
        <is>
          <t> 99624 </t>
        </is>
      </c>
      <c r="C272" s="17" t="inlineStr">
        <is>
          <t>SINAPI</t>
        </is>
      </c>
      <c r="D272" s="17" t="inlineStr">
        <is>
          <t>VÁLVULA DE RETENÇÃO HORIZONTAL, DE BRONZE, ROSCÁVEL, 2 1/2" - FORNECIMENTO E INSTALAÇÃO. AF_08/2021</t>
        </is>
      </c>
      <c r="E272" s="18" t="inlineStr">
        <is>
          <t>UN</t>
        </is>
      </c>
      <c r="F272" s="19" t="n">
        <v>1.0</v>
      </c>
      <c r="G272" s="20" t="n">
        <v>456.09</v>
      </c>
      <c r="H272" s="20" t="str">
        <f>TRUNC(G272 * (1 + 29.07 / 100), 2)</f>
      </c>
      <c r="I272" s="20" t="str">
        <f>TRUNC(F272 * h272, 2)</f>
      </c>
      <c r="J272" s="21" t="str">
        <f>i272 / 3372490.28</f>
      </c>
    </row>
    <row customHeight="1" ht="26" r="273">
      <c r="A273" s="17" t="inlineStr">
        <is>
          <t> 10.3.5 </t>
        </is>
      </c>
      <c r="B273" s="19" t="inlineStr">
        <is>
          <t> RC0105 </t>
        </is>
      </c>
      <c r="C273" s="17" t="inlineStr">
        <is>
          <t>Próprio</t>
        </is>
      </c>
      <c r="D273" s="17" t="inlineStr">
        <is>
          <t>TAMPÃO STORZ PARA ENGATE RÁPIDO 2 1/2" x 2 1/2" COM CORRENTE (INCÊNDIO)  </t>
        </is>
      </c>
      <c r="E273" s="18" t="inlineStr">
        <is>
          <t>UND</t>
        </is>
      </c>
      <c r="F273" s="19" t="n">
        <v>1.0</v>
      </c>
      <c r="G273" s="20" t="n">
        <v>201.26</v>
      </c>
      <c r="H273" s="20" t="str">
        <f>TRUNC(G273 * (1 + 29.07 / 100), 2)</f>
      </c>
      <c r="I273" s="20" t="str">
        <f>TRUNC(F273 * h273, 2)</f>
      </c>
      <c r="J273" s="21" t="str">
        <f>i273 / 3372490.28</f>
      </c>
    </row>
    <row customHeight="1" ht="26" r="274">
      <c r="A274" s="17" t="inlineStr">
        <is>
          <t> 10.3.6 </t>
        </is>
      </c>
      <c r="B274" s="19" t="inlineStr">
        <is>
          <t> RC0104 </t>
        </is>
      </c>
      <c r="C274" s="17" t="inlineStr">
        <is>
          <t>Próprio</t>
        </is>
      </c>
      <c r="D274" s="17" t="inlineStr">
        <is>
          <t>ADAPTADOR STORZ PARA ENGATE RÁPIDO 2 1/2" x 2 1/2"  </t>
        </is>
      </c>
      <c r="E274" s="18" t="inlineStr">
        <is>
          <t>UND</t>
        </is>
      </c>
      <c r="F274" s="19" t="n">
        <v>1.0</v>
      </c>
      <c r="G274" s="20" t="n">
        <v>179.84</v>
      </c>
      <c r="H274" s="20" t="str">
        <f>TRUNC(G274 * (1 + 29.07 / 100), 2)</f>
      </c>
      <c r="I274" s="20" t="str">
        <f>TRUNC(F274 * h274, 2)</f>
      </c>
      <c r="J274" s="21" t="str">
        <f>i274 / 3372490.28</f>
      </c>
    </row>
    <row customHeight="1" ht="39" r="275">
      <c r="A275" s="17" t="inlineStr">
        <is>
          <t> 10.3.7 </t>
        </is>
      </c>
      <c r="B275" s="19" t="inlineStr">
        <is>
          <t> 101798 </t>
        </is>
      </c>
      <c r="C275" s="17" t="inlineStr">
        <is>
          <t>SINAPI</t>
        </is>
      </c>
      <c r="D275" s="17" t="inlineStr">
        <is>
          <t>TAMPA PARA CAIXA TIPO R1, EM FERRO FUNDIDO, DIMENSÕES INTERNAS: 0,40 X 0,60 M - FORNECIMENTO E INSTALAÇÃO. AF_12/2020</t>
        </is>
      </c>
      <c r="E275" s="18" t="inlineStr">
        <is>
          <t>UN</t>
        </is>
      </c>
      <c r="F275" s="19" t="n">
        <v>1.0</v>
      </c>
      <c r="G275" s="20" t="n">
        <v>393.21</v>
      </c>
      <c r="H275" s="20" t="str">
        <f>TRUNC(G275 * (1 + 29.07 / 100), 2)</f>
      </c>
      <c r="I275" s="20" t="str">
        <f>TRUNC(F275 * h275, 2)</f>
      </c>
      <c r="J275" s="21" t="str">
        <f>i275 / 3372490.28</f>
      </c>
    </row>
    <row customHeight="1" ht="39" r="276">
      <c r="A276" s="17" t="inlineStr">
        <is>
          <t> 10.3.8 </t>
        </is>
      </c>
      <c r="B276" s="19" t="inlineStr">
        <is>
          <t> 92378 </t>
        </is>
      </c>
      <c r="C276" s="17" t="inlineStr">
        <is>
          <t>SINAPI</t>
        </is>
      </c>
      <c r="D276" s="17" t="inlineStr">
        <is>
          <t>LUVA, EM FERRO GALVANIZADO, DN 65 (2 1/2"), CONEXÃO ROSQUEADA, INSTALADO EM REDE DE ALIMENTAÇÃO PARA HIDRANTE - FORNECIMENTO E INSTALAÇÃO. AF_10/2020</t>
        </is>
      </c>
      <c r="E276" s="18" t="inlineStr">
        <is>
          <t>UN</t>
        </is>
      </c>
      <c r="F276" s="19" t="n">
        <v>1.0</v>
      </c>
      <c r="G276" s="20" t="n">
        <v>97.25</v>
      </c>
      <c r="H276" s="20" t="str">
        <f>TRUNC(G276 * (1 + 29.07 / 100), 2)</f>
      </c>
      <c r="I276" s="20" t="str">
        <f>TRUNC(F276 * h276, 2)</f>
      </c>
      <c r="J276" s="21" t="str">
        <f>i276 / 3372490.28</f>
      </c>
    </row>
    <row customHeight="1" ht="52" r="277">
      <c r="A277" s="17" t="inlineStr">
        <is>
          <t> 10.3.9 </t>
        </is>
      </c>
      <c r="B277" s="19" t="inlineStr">
        <is>
          <t> 94473 </t>
        </is>
      </c>
      <c r="C277" s="17" t="inlineStr">
        <is>
          <t>SINAPI</t>
        </is>
      </c>
      <c r="D277" s="17" t="inlineStr">
        <is>
          <t>COTOVELO 90 GRAUS, EM FERRO GALVANIZADO, CONEXÃO ROSQUEADA, DN 65 MM (2 1/2"), INSTALADO EM RESERVAÇÃO PREDIAL DE ÁGUA - FORNECIMENTO E INSTALAÇÃO. AF_04/2024</t>
        </is>
      </c>
      <c r="E277" s="18" t="inlineStr">
        <is>
          <t>UN</t>
        </is>
      </c>
      <c r="F277" s="19" t="n">
        <v>15.0</v>
      </c>
      <c r="G277" s="20" t="n">
        <v>113.11</v>
      </c>
      <c r="H277" s="20" t="str">
        <f>TRUNC(G277 * (1 + 29.07 / 100), 2)</f>
      </c>
      <c r="I277" s="20" t="str">
        <f>TRUNC(F277 * h277, 2)</f>
      </c>
      <c r="J277" s="21" t="str">
        <f>i277 / 3372490.28</f>
      </c>
    </row>
    <row customHeight="1" ht="26" r="278">
      <c r="A278" s="17" t="inlineStr">
        <is>
          <t> 10.3.10 </t>
        </is>
      </c>
      <c r="B278" s="19" t="inlineStr">
        <is>
          <t> 103009 </t>
        </is>
      </c>
      <c r="C278" s="17" t="inlineStr">
        <is>
          <t>SINAPI</t>
        </is>
      </c>
      <c r="D278" s="17" t="inlineStr">
        <is>
          <t>VÁLVULA DE RETENÇÃO VERTICAL, DE BRONZE, ROSCÁVEL, 2 1/2" - FORNECIMENTO E INSTALAÇÃO. AF_08/2021</t>
        </is>
      </c>
      <c r="E278" s="18" t="inlineStr">
        <is>
          <t>UN</t>
        </is>
      </c>
      <c r="F278" s="19" t="n">
        <v>2.0</v>
      </c>
      <c r="G278" s="20" t="n">
        <v>291.63</v>
      </c>
      <c r="H278" s="20" t="str">
        <f>TRUNC(G278 * (1 + 29.07 / 100), 2)</f>
      </c>
      <c r="I278" s="20" t="str">
        <f>TRUNC(F278 * h278, 2)</f>
      </c>
      <c r="J278" s="21" t="str">
        <f>i278 / 3372490.28</f>
      </c>
    </row>
    <row customHeight="1" ht="26" r="279">
      <c r="A279" s="17" t="inlineStr">
        <is>
          <t> 10.3.11 </t>
        </is>
      </c>
      <c r="B279" s="19" t="inlineStr">
        <is>
          <t> 99629 </t>
        </is>
      </c>
      <c r="C279" s="17" t="inlineStr">
        <is>
          <t>SINAPI</t>
        </is>
      </c>
      <c r="D279" s="17" t="inlineStr">
        <is>
          <t>VÁLVULA DE RETENÇÃO VERTICAL, DE BRONZE, ROSCÁVEL, 1" - FORNECIMENTO E INSTALAÇÃO. AF_08/2021</t>
        </is>
      </c>
      <c r="E279" s="18" t="inlineStr">
        <is>
          <t>UN</t>
        </is>
      </c>
      <c r="F279" s="19" t="n">
        <v>1.0</v>
      </c>
      <c r="G279" s="20" t="n">
        <v>74.1</v>
      </c>
      <c r="H279" s="20" t="str">
        <f>TRUNC(G279 * (1 + 29.07 / 100), 2)</f>
      </c>
      <c r="I279" s="20" t="str">
        <f>TRUNC(F279 * h279, 2)</f>
      </c>
      <c r="J279" s="21" t="str">
        <f>i279 / 3372490.28</f>
      </c>
    </row>
    <row customHeight="1" ht="39" r="280">
      <c r="A280" s="17" t="inlineStr">
        <is>
          <t> 10.3.12 </t>
        </is>
      </c>
      <c r="B280" s="19" t="inlineStr">
        <is>
          <t> 92642 </t>
        </is>
      </c>
      <c r="C280" s="17" t="inlineStr">
        <is>
          <t>SINAPI</t>
        </is>
      </c>
      <c r="D280" s="17" t="inlineStr">
        <is>
          <t>TÊ, EM FERRO GALVANIZADO, CONEXÃO ROSQUEADA, DN 65 (2 1/2"), INSTALADO EM REDE DE ALIMENTAÇÃO PARA HIDRANTE - FORNECIMENTO E INSTALAÇÃO. AF_10/2020</t>
        </is>
      </c>
      <c r="E280" s="18" t="inlineStr">
        <is>
          <t>UN</t>
        </is>
      </c>
      <c r="F280" s="19" t="n">
        <v>8.0</v>
      </c>
      <c r="G280" s="20" t="n">
        <v>192.08</v>
      </c>
      <c r="H280" s="20" t="str">
        <f>TRUNC(G280 * (1 + 29.07 / 100), 2)</f>
      </c>
      <c r="I280" s="20" t="str">
        <f>TRUNC(F280 * h280, 2)</f>
      </c>
      <c r="J280" s="21" t="str">
        <f>i280 / 3372490.28</f>
      </c>
    </row>
    <row customHeight="1" ht="26" r="281">
      <c r="A281" s="17" t="inlineStr">
        <is>
          <t> 10.3.13 </t>
        </is>
      </c>
      <c r="B281" s="19" t="inlineStr">
        <is>
          <t> 94499 </t>
        </is>
      </c>
      <c r="C281" s="17" t="inlineStr">
        <is>
          <t>SINAPI</t>
        </is>
      </c>
      <c r="D281" s="17" t="inlineStr">
        <is>
          <t>REGISTRO DE GAVETA BRUTO, LATÃO, ROSCÁVEL, 2 1/2" - FORNECIMENTO E INSTALAÇÃO. AF_08/2021</t>
        </is>
      </c>
      <c r="E281" s="18" t="inlineStr">
        <is>
          <t>UN</t>
        </is>
      </c>
      <c r="F281" s="19" t="n">
        <v>1.0</v>
      </c>
      <c r="G281" s="20" t="n">
        <v>294.61</v>
      </c>
      <c r="H281" s="20" t="str">
        <f>TRUNC(G281 * (1 + 29.07 / 100), 2)</f>
      </c>
      <c r="I281" s="20" t="str">
        <f>TRUNC(F281 * h281, 2)</f>
      </c>
      <c r="J281" s="21" t="str">
        <f>i281 / 3372490.28</f>
      </c>
    </row>
    <row customHeight="1" ht="26" r="282">
      <c r="A282" s="17" t="inlineStr">
        <is>
          <t> 10.3.14 </t>
        </is>
      </c>
      <c r="B282" s="19" t="inlineStr">
        <is>
          <t> 94495 </t>
        </is>
      </c>
      <c r="C282" s="17" t="inlineStr">
        <is>
          <t>SINAPI</t>
        </is>
      </c>
      <c r="D282" s="17" t="inlineStr">
        <is>
          <t>REGISTRO DE GAVETA BRUTO, LATÃO, ROSCÁVEL, 1" - FORNECIMENTO E INSTALAÇÃO. AF_08/2021</t>
        </is>
      </c>
      <c r="E282" s="18" t="inlineStr">
        <is>
          <t>UN</t>
        </is>
      </c>
      <c r="F282" s="19" t="n">
        <v>2.0</v>
      </c>
      <c r="G282" s="20" t="n">
        <v>62.17</v>
      </c>
      <c r="H282" s="20" t="str">
        <f>TRUNC(G282 * (1 + 29.07 / 100), 2)</f>
      </c>
      <c r="I282" s="20" t="str">
        <f>TRUNC(F282 * h282, 2)</f>
      </c>
      <c r="J282" s="21" t="str">
        <f>i282 / 3372490.28</f>
      </c>
    </row>
    <row customHeight="1" ht="39" r="283">
      <c r="A283" s="17" t="inlineStr">
        <is>
          <t> 10.3.15 </t>
        </is>
      </c>
      <c r="B283" s="19" t="inlineStr">
        <is>
          <t> 92892 </t>
        </is>
      </c>
      <c r="C283" s="17" t="inlineStr">
        <is>
          <t>SINAPI</t>
        </is>
      </c>
      <c r="D283" s="17" t="inlineStr">
        <is>
          <t>UNIÃO, EM FERRO GALVANIZADO, DN 25 (1"), CONEXÃO ROSQUEADA, INSTALADO EM REDE DE ALIMENTAÇÃO PARA HIDRANTE - FORNECIMENTO E INSTALAÇÃO. AF_10/2020</t>
        </is>
      </c>
      <c r="E283" s="18" t="inlineStr">
        <is>
          <t>UN</t>
        </is>
      </c>
      <c r="F283" s="19" t="n">
        <v>2.0</v>
      </c>
      <c r="G283" s="20" t="n">
        <v>55.76</v>
      </c>
      <c r="H283" s="20" t="str">
        <f>TRUNC(G283 * (1 + 29.07 / 100), 2)</f>
      </c>
      <c r="I283" s="20" t="str">
        <f>TRUNC(F283 * h283, 2)</f>
      </c>
      <c r="J283" s="21" t="str">
        <f>i283 / 3372490.28</f>
      </c>
    </row>
    <row customHeight="1" ht="52" r="284">
      <c r="A284" s="17" t="inlineStr">
        <is>
          <t> 10.3.16 </t>
        </is>
      </c>
      <c r="B284" s="19" t="inlineStr">
        <is>
          <t> 92896 </t>
        </is>
      </c>
      <c r="C284" s="17" t="inlineStr">
        <is>
          <t>SINAPI</t>
        </is>
      </c>
      <c r="D284" s="17" t="inlineStr">
        <is>
          <t>UNIÃO, EM FERRO GALVANIZADO, DN 65 (2 1/2"), CONEXÃO ROSQUEADA, INSTALADO EM REDE DE ALIMENTAÇÃO PARA HIDRANTE - FORNECIMENTO E INSTALAÇÃO. AF_10/2020</t>
        </is>
      </c>
      <c r="E284" s="18" t="inlineStr">
        <is>
          <t>UN</t>
        </is>
      </c>
      <c r="F284" s="19" t="n">
        <v>4.0</v>
      </c>
      <c r="G284" s="20" t="n">
        <v>195.36</v>
      </c>
      <c r="H284" s="20" t="str">
        <f>TRUNC(G284 * (1 + 29.07 / 100), 2)</f>
      </c>
      <c r="I284" s="20" t="str">
        <f>TRUNC(F284 * h284, 2)</f>
      </c>
      <c r="J284" s="21" t="str">
        <f>i284 / 3372490.28</f>
      </c>
    </row>
    <row customHeight="1" ht="26" r="285">
      <c r="A285" s="17" t="inlineStr">
        <is>
          <t> 10.3.19 </t>
        </is>
      </c>
      <c r="B285" s="19" t="inlineStr">
        <is>
          <t> RC0099 </t>
        </is>
      </c>
      <c r="C285" s="17" t="inlineStr">
        <is>
          <t>Próprio</t>
        </is>
      </c>
      <c r="D285" s="17" t="inlineStr">
        <is>
          <t>BUCHA REDUCAO FERRO GALVANIZADO 2.1/2x1" - FORNECIMENTO E INSTALAÇÃO</t>
        </is>
      </c>
      <c r="E285" s="18" t="inlineStr">
        <is>
          <t>UND</t>
        </is>
      </c>
      <c r="F285" s="19" t="n">
        <v>2.0</v>
      </c>
      <c r="G285" s="20" t="n">
        <v>79.52</v>
      </c>
      <c r="H285" s="20" t="str">
        <f>TRUNC(G285 * (1 + 29.07 / 100), 2)</f>
      </c>
      <c r="I285" s="20" t="str">
        <f>TRUNC(F285 * h285, 2)</f>
      </c>
      <c r="J285" s="21" t="str">
        <f>i285 / 3372490.28</f>
      </c>
    </row>
    <row customHeight="1" ht="52" r="286">
      <c r="A286" s="17" t="inlineStr">
        <is>
          <t> 10.3.20 </t>
        </is>
      </c>
      <c r="B286" s="19" t="inlineStr">
        <is>
          <t> 92367 </t>
        </is>
      </c>
      <c r="C286" s="17" t="inlineStr">
        <is>
          <t>SINAPI</t>
        </is>
      </c>
      <c r="D286" s="17" t="inlineStr">
        <is>
          <t>TUBO DE AÇO GALVANIZADO COM COSTURA, CLASSE MÉDIA, DN 65 (2 1/2"), CONEXÃO ROSQUEADA, INSTALADO EM REDE DE ALIMENTAÇÃO PARA HIDRANTE - FORNECIMENTO E INSTALAÇÃO. AF_10/2020</t>
        </is>
      </c>
      <c r="E286" s="18" t="inlineStr">
        <is>
          <t>M</t>
        </is>
      </c>
      <c r="F286" s="19" t="n">
        <v>105.11</v>
      </c>
      <c r="G286" s="20" t="n">
        <v>118.25</v>
      </c>
      <c r="H286" s="20" t="str">
        <f>TRUNC(G286 * (1 + 29.07 / 100), 2)</f>
      </c>
      <c r="I286" s="20" t="str">
        <f>TRUNC(F286 * h286, 2)</f>
      </c>
      <c r="J286" s="21" t="str">
        <f>i286 / 3372490.28</f>
      </c>
    </row>
    <row customHeight="1" ht="52" r="287">
      <c r="A287" s="17" t="inlineStr">
        <is>
          <t> 10.3.21 </t>
        </is>
      </c>
      <c r="B287" s="19" t="inlineStr">
        <is>
          <t> 94474 </t>
        </is>
      </c>
      <c r="C287" s="17" t="inlineStr">
        <is>
          <t>SINAPI</t>
        </is>
      </c>
      <c r="D287" s="17" t="inlineStr">
        <is>
          <t>COTOVELO 45 GRAUS, EM FERRO GALVANIZADO, CONEXÃO ROSQUEADA, DN 65 MM (2 1/2"), INSTALADO EM RESERVAÇÃO PREDIAL DE ÁGUA - FORNECIMENTO E INSTALAÇÃO. AF_04/2024</t>
        </is>
      </c>
      <c r="E287" s="18" t="inlineStr">
        <is>
          <t>UN</t>
        </is>
      </c>
      <c r="F287" s="19" t="n">
        <v>2.0</v>
      </c>
      <c r="G287" s="20" t="n">
        <v>122.56</v>
      </c>
      <c r="H287" s="20" t="str">
        <f>TRUNC(G287 * (1 + 29.07 / 100), 2)</f>
      </c>
      <c r="I287" s="20" t="str">
        <f>TRUNC(F287 * h287, 2)</f>
      </c>
      <c r="J287" s="21" t="str">
        <f>i287 / 3372490.28</f>
      </c>
    </row>
    <row customHeight="1" ht="26" r="288">
      <c r="A288" s="17" t="inlineStr">
        <is>
          <t> 10.3.22 </t>
        </is>
      </c>
      <c r="B288" s="19" t="inlineStr">
        <is>
          <t> 93358 </t>
        </is>
      </c>
      <c r="C288" s="17" t="inlineStr">
        <is>
          <t>SINAPI</t>
        </is>
      </c>
      <c r="D288" s="17" t="inlineStr">
        <is>
          <t>ESCAVAÇÃO MANUAL DE VALA COM PROFUNDIDADE MENOR OU IGUAL A 1,30 M. AF_02/2021</t>
        </is>
      </c>
      <c r="E288" s="18" t="inlineStr">
        <is>
          <t>m³</t>
        </is>
      </c>
      <c r="F288" s="19" t="n">
        <v>33.6</v>
      </c>
      <c r="G288" s="20" t="n">
        <v>83.86</v>
      </c>
      <c r="H288" s="20" t="str">
        <f>TRUNC(G288 * (1 + 29.07 / 100), 2)</f>
      </c>
      <c r="I288" s="20" t="str">
        <f>TRUNC(F288 * h288, 2)</f>
      </c>
      <c r="J288" s="21" t="str">
        <f>i288 / 3372490.28</f>
      </c>
    </row>
    <row customHeight="1" ht="24" r="289">
      <c r="A289" s="17" t="inlineStr">
        <is>
          <t> 10.3.23 </t>
        </is>
      </c>
      <c r="B289" s="19" t="inlineStr">
        <is>
          <t> RC0052 </t>
        </is>
      </c>
      <c r="C289" s="17" t="inlineStr">
        <is>
          <t>Próprio</t>
        </is>
      </c>
      <c r="D289" s="17" t="inlineStr">
        <is>
          <t>REGULARIZAÇÃO MANUAL</t>
        </is>
      </c>
      <c r="E289" s="18" t="inlineStr">
        <is>
          <t>m²</t>
        </is>
      </c>
      <c r="F289" s="19" t="n">
        <v>42.0</v>
      </c>
      <c r="G289" s="20" t="n">
        <v>6.36</v>
      </c>
      <c r="H289" s="20" t="str">
        <f>TRUNC(G289 * (1 + 29.07 / 100), 2)</f>
      </c>
      <c r="I289" s="20" t="str">
        <f>TRUNC(F289 * h289, 2)</f>
      </c>
      <c r="J289" s="21" t="str">
        <f>i289 / 3372490.28</f>
      </c>
    </row>
    <row customHeight="1" ht="26" r="290">
      <c r="A290" s="17" t="inlineStr">
        <is>
          <t> 10.3.24 </t>
        </is>
      </c>
      <c r="B290" s="19" t="inlineStr">
        <is>
          <t> 93382 </t>
        </is>
      </c>
      <c r="C290" s="17" t="inlineStr">
        <is>
          <t>SINAPI</t>
        </is>
      </c>
      <c r="D290" s="17" t="inlineStr">
        <is>
          <t>REATERRO MANUAL DE VALAS, COM COMPACTADOR DE SOLOS DE PERCUSSÃO. AF_08/2023</t>
        </is>
      </c>
      <c r="E290" s="18" t="inlineStr">
        <is>
          <t>m³</t>
        </is>
      </c>
      <c r="F290" s="19" t="n">
        <v>33.25</v>
      </c>
      <c r="G290" s="20" t="n">
        <v>26.85</v>
      </c>
      <c r="H290" s="20" t="str">
        <f>TRUNC(G290 * (1 + 29.07 / 100), 2)</f>
      </c>
      <c r="I290" s="20" t="str">
        <f>TRUNC(F290 * h290, 2)</f>
      </c>
      <c r="J290" s="21" t="str">
        <f>i290 / 3372490.28</f>
      </c>
    </row>
    <row customHeight="1" ht="39" r="291">
      <c r="A291" s="17" t="inlineStr">
        <is>
          <t> 10.3.25 </t>
        </is>
      </c>
      <c r="B291" s="19" t="inlineStr">
        <is>
          <t> 102620 </t>
        </is>
      </c>
      <c r="C291" s="17" t="inlineStr">
        <is>
          <t>SINAPI</t>
        </is>
      </c>
      <c r="D291" s="17" t="inlineStr">
        <is>
          <t>CAIXA D´ÁGUA EM POLIÉSTER REFORÇADO COM FIBRA DE VIDRO, 15000 LITROS - FORNECIMENTO E INSTALAÇÃO. AF_06/2021</t>
        </is>
      </c>
      <c r="E291" s="18" t="inlineStr">
        <is>
          <t>UN</t>
        </is>
      </c>
      <c r="F291" s="19" t="n">
        <v>1.0</v>
      </c>
      <c r="G291" s="20" t="n">
        <v>7134.22</v>
      </c>
      <c r="H291" s="20" t="str">
        <f>TRUNC(G291 * (1 + 29.07 / 100), 2)</f>
      </c>
      <c r="I291" s="20" t="str">
        <f>TRUNC(F291 * h291, 2)</f>
      </c>
      <c r="J291" s="21" t="str">
        <f>i291 / 3372490.28</f>
      </c>
    </row>
    <row customHeight="1" ht="65" r="292">
      <c r="A292" s="17" t="inlineStr">
        <is>
          <t> 10.3.26 </t>
        </is>
      </c>
      <c r="B292" s="19" t="inlineStr">
        <is>
          <t> 94789 </t>
        </is>
      </c>
      <c r="C292" s="17" t="inlineStr">
        <is>
          <t>SINAPI</t>
        </is>
      </c>
      <c r="D292" s="17" t="inlineStr">
        <is>
          <t>ADAPTADOR COM FLANGES LIVRES, PVC, SOLDÁVEL LONGO, DN 75 MM X 2 1/2 , INSTALADO EM RESERVAÇÃO DE ÁGUA DE EDIFICAÇÃO QUE POSSUA RESERVATÓRIO DE FIBRA/FIBROCIMENTO   FORNECIMENTO E INSTALAÇÃO. AF_06/2016</t>
        </is>
      </c>
      <c r="E292" s="18" t="inlineStr">
        <is>
          <t>UN</t>
        </is>
      </c>
      <c r="F292" s="19" t="n">
        <v>2.0</v>
      </c>
      <c r="G292" s="20" t="n">
        <v>185.1</v>
      </c>
      <c r="H292" s="20" t="str">
        <f>TRUNC(G292 * (1 + 29.07 / 100), 2)</f>
      </c>
      <c r="I292" s="20" t="str">
        <f>TRUNC(F292 * h292, 2)</f>
      </c>
      <c r="J292" s="21" t="str">
        <f>i292 / 3372490.28</f>
      </c>
    </row>
    <row customHeight="1" ht="65" r="293">
      <c r="A293" s="17" t="inlineStr">
        <is>
          <t> 10.3.27 </t>
        </is>
      </c>
      <c r="B293" s="19" t="inlineStr">
        <is>
          <t> ITA0026 </t>
        </is>
      </c>
      <c r="C293" s="17" t="inlineStr">
        <is>
          <t>Próprio</t>
        </is>
      </c>
      <c r="D293" s="17" t="inlineStr">
        <is>
          <t>GRUPO DE BOMBEAMENTO PARA COMBATE A INCENDIO, TIPO SKID, MONTADO SOBRE CHASSI METALICO (CONJUNTO MOTOBOMBA ELETRICA, DIESEL E JOCKEY) PAINEL DE COMANDO COM PARTIDA, SINALIZAÇÃO E ALARMES- FORNECIMENTO E INSTALAÇÃO.</t>
        </is>
      </c>
      <c r="E293" s="18" t="inlineStr">
        <is>
          <t>UN</t>
        </is>
      </c>
      <c r="F293" s="19" t="n">
        <v>1.0</v>
      </c>
      <c r="G293" s="20" t="n">
        <v>19211.87</v>
      </c>
      <c r="H293" s="20" t="str">
        <f>TRUNC(G293 * (1 + 29.07 / 100), 2)</f>
      </c>
      <c r="I293" s="20" t="str">
        <f>TRUNC(F293 * h293, 2)</f>
      </c>
      <c r="J293" s="21" t="str">
        <f>i293 / 3372490.28</f>
      </c>
    </row>
    <row customHeight="1" ht="26" r="294">
      <c r="A294" s="17" t="inlineStr">
        <is>
          <t> 10.3.28 </t>
        </is>
      </c>
      <c r="B294" s="19" t="inlineStr">
        <is>
          <t> 100701 </t>
        </is>
      </c>
      <c r="C294" s="17" t="inlineStr">
        <is>
          <t>SINAPI</t>
        </is>
      </c>
      <c r="D294" s="17" t="inlineStr">
        <is>
          <t>PORTA DE FERRO, DE ABRIR, TIPO GRADE COM CHAPA, COM GUARNIÇÕES. AF_12/2019</t>
        </is>
      </c>
      <c r="E294" s="18" t="inlineStr">
        <is>
          <t>m²</t>
        </is>
      </c>
      <c r="F294" s="19" t="n">
        <v>17.49</v>
      </c>
      <c r="G294" s="20" t="n">
        <v>445.33</v>
      </c>
      <c r="H294" s="20" t="str">
        <f>TRUNC(G294 * (1 + 29.07 / 100), 2)</f>
      </c>
      <c r="I294" s="20" t="str">
        <f>TRUNC(F294 * h294, 2)</f>
      </c>
      <c r="J294" s="21" t="str">
        <f>i294 / 3372490.28</f>
      </c>
    </row>
    <row customHeight="1" ht="24" r="295">
      <c r="A295" s="9" t="inlineStr">
        <is>
          <t> 10.4 </t>
        </is>
      </c>
      <c r="B295" s="9"/>
      <c r="C295" s="9"/>
      <c r="D295" s="9" t="inlineStr">
        <is>
          <t>SISTEMA DE ALARME</t>
        </is>
      </c>
      <c r="E295" s="9"/>
      <c r="F295" s="11"/>
      <c r="G295" s="9"/>
      <c r="H295" s="9"/>
      <c r="I295" s="12" t="n">
        <v>8130.51</v>
      </c>
      <c r="J295" s="13" t="str">
        <f>i295 / 3372490.28</f>
      </c>
    </row>
    <row customHeight="1" ht="26" r="296">
      <c r="A296" s="17" t="inlineStr">
        <is>
          <t> 10.4.1 </t>
        </is>
      </c>
      <c r="B296" s="19" t="inlineStr">
        <is>
          <t> RC0080 </t>
        </is>
      </c>
      <c r="C296" s="17" t="inlineStr">
        <is>
          <t>Próprio</t>
        </is>
      </c>
      <c r="D296" s="17" t="inlineStr">
        <is>
          <t>SIRENE AUDIO VISUAL ALARME DE INCENDIO ILUMAC SAF-C 24VCC</t>
        </is>
      </c>
      <c r="E296" s="18" t="inlineStr">
        <is>
          <t>UND</t>
        </is>
      </c>
      <c r="F296" s="19" t="n">
        <v>4.0</v>
      </c>
      <c r="G296" s="20" t="n">
        <v>172.28</v>
      </c>
      <c r="H296" s="20" t="str">
        <f>TRUNC(G296 * (1 + 29.07 / 100), 2)</f>
      </c>
      <c r="I296" s="20" t="str">
        <f>TRUNC(F296 * h296, 2)</f>
      </c>
      <c r="J296" s="21" t="str">
        <f>i296 / 3372490.28</f>
      </c>
    </row>
    <row customHeight="1" ht="24" r="297">
      <c r="A297" s="17" t="inlineStr">
        <is>
          <t> 10.4.2 </t>
        </is>
      </c>
      <c r="B297" s="19" t="inlineStr">
        <is>
          <t> RC0081 </t>
        </is>
      </c>
      <c r="C297" s="17" t="inlineStr">
        <is>
          <t>Próprio</t>
        </is>
      </c>
      <c r="D297" s="17" t="inlineStr">
        <is>
          <t>ACIONADOR MANUAL DE ALARME CONTRA INCENDIO</t>
        </is>
      </c>
      <c r="E297" s="18" t="inlineStr">
        <is>
          <t>UND</t>
        </is>
      </c>
      <c r="F297" s="19" t="n">
        <v>4.0</v>
      </c>
      <c r="G297" s="20" t="n">
        <v>82.84</v>
      </c>
      <c r="H297" s="20" t="str">
        <f>TRUNC(G297 * (1 + 29.07 / 100), 2)</f>
      </c>
      <c r="I297" s="20" t="str">
        <f>TRUNC(F297 * h297, 2)</f>
      </c>
      <c r="J297" s="21" t="str">
        <f>i297 / 3372490.28</f>
      </c>
    </row>
    <row customHeight="1" ht="26" r="298">
      <c r="A298" s="17" t="inlineStr">
        <is>
          <t> 10.4.3 </t>
        </is>
      </c>
      <c r="B298" s="19" t="inlineStr">
        <is>
          <t> RC0083 </t>
        </is>
      </c>
      <c r="C298" s="17" t="inlineStr">
        <is>
          <t>Próprio</t>
        </is>
      </c>
      <c r="D298" s="17" t="inlineStr">
        <is>
          <t>CENTRAL ALARME DE INCENDIO INTELBRAS CIC 06L COM BATERIA</t>
        </is>
      </c>
      <c r="E298" s="18" t="inlineStr">
        <is>
          <t>UND</t>
        </is>
      </c>
      <c r="F298" s="19" t="n">
        <v>1.0</v>
      </c>
      <c r="G298" s="20" t="n">
        <v>584.11</v>
      </c>
      <c r="H298" s="20" t="str">
        <f>TRUNC(G298 * (1 + 29.07 / 100), 2)</f>
      </c>
      <c r="I298" s="20" t="str">
        <f>TRUNC(F298 * h298, 2)</f>
      </c>
      <c r="J298" s="21" t="str">
        <f>i298 / 3372490.28</f>
      </c>
    </row>
    <row customHeight="1" ht="26" r="299">
      <c r="A299" s="17" t="inlineStr">
        <is>
          <t> 10.4.4 </t>
        </is>
      </c>
      <c r="B299" s="19" t="inlineStr">
        <is>
          <t> SEMAP 00.03.011 </t>
        </is>
      </c>
      <c r="C299" s="17" t="inlineStr">
        <is>
          <t>Próprio</t>
        </is>
      </c>
      <c r="D299" s="17" t="inlineStr">
        <is>
          <t>ELETRODUTO DE AÇO GALVANIZADO, 3/4", APARENTE - FORNECIMENTO E INSTALAÇÃO</t>
        </is>
      </c>
      <c r="E299" s="18" t="inlineStr">
        <is>
          <t>M</t>
        </is>
      </c>
      <c r="F299" s="19" t="n">
        <v>100.9</v>
      </c>
      <c r="G299" s="20" t="n">
        <v>19.1</v>
      </c>
      <c r="H299" s="20" t="str">
        <f>TRUNC(G299 * (1 + 29.07 / 100), 2)</f>
      </c>
      <c r="I299" s="20" t="str">
        <f>TRUNC(F299 * h299, 2)</f>
      </c>
      <c r="J299" s="21" t="str">
        <f>i299 / 3372490.28</f>
      </c>
    </row>
    <row customHeight="1" ht="26" r="300">
      <c r="A300" s="17" t="inlineStr">
        <is>
          <t> 10.4.5 </t>
        </is>
      </c>
      <c r="B300" s="19" t="inlineStr">
        <is>
          <t> ITA0049 </t>
        </is>
      </c>
      <c r="C300" s="17" t="inlineStr">
        <is>
          <t>Próprio</t>
        </is>
      </c>
      <c r="D300" s="17" t="inlineStr">
        <is>
          <t>CABO BLINDADO PARA ALARME E DETECÇÃO DE INCÊNCIO 3 X 1,5MM²</t>
        </is>
      </c>
      <c r="E300" s="18" t="inlineStr">
        <is>
          <t>m</t>
        </is>
      </c>
      <c r="F300" s="19" t="n">
        <v>101.9</v>
      </c>
      <c r="G300" s="20" t="n">
        <v>23.53</v>
      </c>
      <c r="H300" s="20" t="str">
        <f>TRUNC(G300 * (1 + 29.07 / 100), 2)</f>
      </c>
      <c r="I300" s="20" t="str">
        <f>TRUNC(F300 * h300, 2)</f>
      </c>
      <c r="J300" s="21" t="str">
        <f>i300 / 3372490.28</f>
      </c>
    </row>
    <row customHeight="1" ht="26" r="301">
      <c r="A301" s="17" t="inlineStr">
        <is>
          <t> 10.4.6 </t>
        </is>
      </c>
      <c r="B301" s="19" t="inlineStr">
        <is>
          <t> SEMAI 00.03.019 </t>
        </is>
      </c>
      <c r="C301" s="17" t="inlineStr">
        <is>
          <t>Próprio</t>
        </is>
      </c>
      <c r="D301" s="17" t="inlineStr">
        <is>
          <t>CONDULETE EM ALUMÍNIO TIPO "X" DE 3/4" - FORNECIMENTO E INSTALAÇÃO</t>
        </is>
      </c>
      <c r="E301" s="18" t="inlineStr">
        <is>
          <t>UND</t>
        </is>
      </c>
      <c r="F301" s="19" t="n">
        <v>10.0</v>
      </c>
      <c r="G301" s="20" t="n">
        <v>37.01</v>
      </c>
      <c r="H301" s="20" t="str">
        <f>TRUNC(G301 * (1 + 29.07 / 100), 2)</f>
      </c>
      <c r="I301" s="20" t="str">
        <f>TRUNC(F301 * h301, 2)</f>
      </c>
      <c r="J301" s="21" t="str">
        <f>i301 / 3372490.28</f>
      </c>
    </row>
    <row customHeight="1" ht="24" r="302">
      <c r="A302" s="9" t="inlineStr">
        <is>
          <t> 11 </t>
        </is>
      </c>
      <c r="B302" s="9"/>
      <c r="C302" s="9"/>
      <c r="D302" s="9" t="inlineStr">
        <is>
          <t>INSTALAÇÕES ELETRICAS</t>
        </is>
      </c>
      <c r="E302" s="9"/>
      <c r="F302" s="11"/>
      <c r="G302" s="9"/>
      <c r="H302" s="9"/>
      <c r="I302" s="12" t="n">
        <v>368673.38</v>
      </c>
      <c r="J302" s="13" t="str">
        <f>i302 / 3372490.28</f>
      </c>
    </row>
    <row customHeight="1" ht="24" r="303">
      <c r="A303" s="9" t="inlineStr">
        <is>
          <t> 11.1 </t>
        </is>
      </c>
      <c r="B303" s="9"/>
      <c r="C303" s="9"/>
      <c r="D303" s="9" t="inlineStr">
        <is>
          <t>INSTALAÇÕES ELETRICAS - ILUMINAÇÃO E TOMADAS</t>
        </is>
      </c>
      <c r="E303" s="9"/>
      <c r="F303" s="11"/>
      <c r="G303" s="9"/>
      <c r="H303" s="9"/>
      <c r="I303" s="12" t="n">
        <v>140795.68</v>
      </c>
      <c r="J303" s="13" t="str">
        <f>i303 / 3372490.28</f>
      </c>
    </row>
    <row customHeight="1" ht="39" r="304">
      <c r="A304" s="17" t="inlineStr">
        <is>
          <t> 11.1.1 </t>
        </is>
      </c>
      <c r="B304" s="19" t="inlineStr">
        <is>
          <t> 91926 </t>
        </is>
      </c>
      <c r="C304" s="17" t="inlineStr">
        <is>
          <t>SINAPI</t>
        </is>
      </c>
      <c r="D304" s="17" t="inlineStr">
        <is>
          <t>CABO DE COBRE FLEXÍVEL ISOLADO, 2,5 MM², ANTI-CHAMA 450/750 V, PARA CIRCUITOS TERMINAIS - FORNECIMENTO E INSTALAÇÃO. AF_03/2023</t>
        </is>
      </c>
      <c r="E304" s="18" t="inlineStr">
        <is>
          <t>M</t>
        </is>
      </c>
      <c r="F304" s="19" t="n">
        <v>8360.0</v>
      </c>
      <c r="G304" s="20" t="n">
        <v>3.94</v>
      </c>
      <c r="H304" s="20" t="str">
        <f>TRUNC(G304 * (1 + 29.07 / 100), 2)</f>
      </c>
      <c r="I304" s="20" t="str">
        <f>TRUNC(F304 * h304, 2)</f>
      </c>
      <c r="J304" s="21" t="str">
        <f>i304 / 3372490.28</f>
      </c>
    </row>
    <row customHeight="1" ht="39" r="305">
      <c r="A305" s="17" t="inlineStr">
        <is>
          <t> 11.1.2 </t>
        </is>
      </c>
      <c r="B305" s="19" t="inlineStr">
        <is>
          <t> 91931 </t>
        </is>
      </c>
      <c r="C305" s="17" t="inlineStr">
        <is>
          <t>SINAPI</t>
        </is>
      </c>
      <c r="D305" s="17" t="inlineStr">
        <is>
          <t>CABO DE COBRE FLEXÍVEL ISOLADO, 6 MM², ANTI-CHAMA 0,6/1,0 KV, PARA CIRCUITOS TERMINAIS - FORNECIMENTO E INSTALAÇÃO. AF_03/2023</t>
        </is>
      </c>
      <c r="E305" s="18" t="inlineStr">
        <is>
          <t>M</t>
        </is>
      </c>
      <c r="F305" s="19" t="n">
        <v>20.0</v>
      </c>
      <c r="G305" s="20" t="n">
        <v>9.06</v>
      </c>
      <c r="H305" s="20" t="str">
        <f>TRUNC(G305 * (1 + 29.07 / 100), 2)</f>
      </c>
      <c r="I305" s="20" t="str">
        <f>TRUNC(F305 * h305, 2)</f>
      </c>
      <c r="J305" s="21" t="str">
        <f>i305 / 3372490.28</f>
      </c>
    </row>
    <row customHeight="1" ht="26" r="306">
      <c r="A306" s="17" t="inlineStr">
        <is>
          <t> 11.1.3 </t>
        </is>
      </c>
      <c r="B306" s="19" t="inlineStr">
        <is>
          <t> SEMAP 00.03.011 </t>
        </is>
      </c>
      <c r="C306" s="17" t="inlineStr">
        <is>
          <t>Próprio</t>
        </is>
      </c>
      <c r="D306" s="17" t="inlineStr">
        <is>
          <t>ELETRODUTO DE AÇO GALVANIZADO, 3/4", APARENTE - FORNECIMENTO E INSTALAÇÃO</t>
        </is>
      </c>
      <c r="E306" s="18" t="inlineStr">
        <is>
          <t>M</t>
        </is>
      </c>
      <c r="F306" s="19" t="n">
        <v>600.0</v>
      </c>
      <c r="G306" s="20" t="n">
        <v>19.1</v>
      </c>
      <c r="H306" s="20" t="str">
        <f>TRUNC(G306 * (1 + 29.07 / 100), 2)</f>
      </c>
      <c r="I306" s="20" t="str">
        <f>TRUNC(F306 * h306, 2)</f>
      </c>
      <c r="J306" s="21" t="str">
        <f>i306 / 3372490.28</f>
      </c>
    </row>
    <row customHeight="1" ht="26" r="307">
      <c r="A307" s="17" t="inlineStr">
        <is>
          <t> 11.1.3 </t>
        </is>
      </c>
      <c r="B307" s="19" t="inlineStr">
        <is>
          <t> SEMAP 00.03.012 </t>
        </is>
      </c>
      <c r="C307" s="17" t="inlineStr">
        <is>
          <t>Próprio</t>
        </is>
      </c>
      <c r="D307" s="17" t="inlineStr">
        <is>
          <t>ELETRODUTO DE AÇO GALVANIZADO, 1", APARENTE - FORNECIMENTO E INSTALAÇÃO</t>
        </is>
      </c>
      <c r="E307" s="18" t="inlineStr">
        <is>
          <t>M</t>
        </is>
      </c>
      <c r="F307" s="19" t="n">
        <v>90.0</v>
      </c>
      <c r="G307" s="20" t="n">
        <v>23.37</v>
      </c>
      <c r="H307" s="20" t="str">
        <f>TRUNC(G307 * (1 + 29.07 / 100), 2)</f>
      </c>
      <c r="I307" s="20" t="str">
        <f>TRUNC(F307 * h307, 2)</f>
      </c>
      <c r="J307" s="21" t="str">
        <f>i307 / 3372490.28</f>
      </c>
    </row>
    <row customHeight="1" ht="39" r="308">
      <c r="A308" s="17" t="inlineStr">
        <is>
          <t> 11.1.3 </t>
        </is>
      </c>
      <c r="B308" s="19" t="inlineStr">
        <is>
          <t> 91871 </t>
        </is>
      </c>
      <c r="C308" s="17" t="inlineStr">
        <is>
          <t>SINAPI</t>
        </is>
      </c>
      <c r="D308" s="17" t="inlineStr">
        <is>
          <t>ELETRODUTO RÍGIDO ROSCÁVEL, PVC, DN 25 MM (3/4"), PARA CIRCUITOS TERMINAIS, INSTALADO EM PAREDE - FORNECIMENTO E INSTALAÇÃO. AF_03/2023</t>
        </is>
      </c>
      <c r="E308" s="18" t="inlineStr">
        <is>
          <t>M</t>
        </is>
      </c>
      <c r="F308" s="19" t="n">
        <v>360.0</v>
      </c>
      <c r="G308" s="20" t="n">
        <v>13.71</v>
      </c>
      <c r="H308" s="20" t="str">
        <f>TRUNC(G308 * (1 + 29.07 / 100), 2)</f>
      </c>
      <c r="I308" s="20" t="str">
        <f>TRUNC(F308 * h308, 2)</f>
      </c>
      <c r="J308" s="21" t="str">
        <f>i308 / 3372490.28</f>
      </c>
    </row>
    <row customHeight="1" ht="26" r="309">
      <c r="A309" s="17" t="inlineStr">
        <is>
          <t> 11.1.4 </t>
        </is>
      </c>
      <c r="B309" s="19" t="inlineStr">
        <is>
          <t> SEMAP 00.03.013 </t>
        </is>
      </c>
      <c r="C309" s="17" t="inlineStr">
        <is>
          <t>Próprio</t>
        </is>
      </c>
      <c r="D309" s="17" t="inlineStr">
        <is>
          <t>ELETRODUTO DE AÇO GALVANIZADO, 1 1/4", APARENTE - FORNECIMENTO E INSTALAÇÃO</t>
        </is>
      </c>
      <c r="E309" s="18" t="inlineStr">
        <is>
          <t>M</t>
        </is>
      </c>
      <c r="F309" s="19" t="n">
        <v>50.0</v>
      </c>
      <c r="G309" s="20" t="n">
        <v>36.41</v>
      </c>
      <c r="H309" s="20" t="str">
        <f>TRUNC(G309 * (1 + 29.07 / 100), 2)</f>
      </c>
      <c r="I309" s="20" t="str">
        <f>TRUNC(F309 * h309, 2)</f>
      </c>
      <c r="J309" s="21" t="str">
        <f>i309 / 3372490.28</f>
      </c>
    </row>
    <row customHeight="1" ht="26" r="310">
      <c r="A310" s="17" t="inlineStr">
        <is>
          <t> 11.1.4 </t>
        </is>
      </c>
      <c r="B310" s="19" t="inlineStr">
        <is>
          <t> SEMAP 00.03.014 </t>
        </is>
      </c>
      <c r="C310" s="17" t="inlineStr">
        <is>
          <t>Próprio</t>
        </is>
      </c>
      <c r="D310" s="17" t="inlineStr">
        <is>
          <t>ELETRODUTO DE AÇO GALVANIZADO, 1 1/2", APARENTE - FORNECIMENTO E INSTALAÇÃO</t>
        </is>
      </c>
      <c r="E310" s="18" t="inlineStr">
        <is>
          <t>M</t>
        </is>
      </c>
      <c r="F310" s="19" t="n">
        <v>30.0</v>
      </c>
      <c r="G310" s="20" t="n">
        <v>39.84</v>
      </c>
      <c r="H310" s="20" t="str">
        <f>TRUNC(G310 * (1 + 29.07 / 100), 2)</f>
      </c>
      <c r="I310" s="20" t="str">
        <f>TRUNC(F310 * h310, 2)</f>
      </c>
      <c r="J310" s="21" t="str">
        <f>i310 / 3372490.28</f>
      </c>
    </row>
    <row customHeight="1" ht="26" r="311">
      <c r="A311" s="17" t="inlineStr">
        <is>
          <t> 11.1.5 </t>
        </is>
      </c>
      <c r="B311" s="19" t="inlineStr">
        <is>
          <t> ITA0030 </t>
        </is>
      </c>
      <c r="C311" s="17" t="inlineStr">
        <is>
          <t>Próprio</t>
        </is>
      </c>
      <c r="D311" s="17" t="inlineStr">
        <is>
          <t>CAIXA METÁLICA 15X15X10CM, INSTALADA EM LAJE - FORNECIMENTO E INSTALAÇÃO.</t>
        </is>
      </c>
      <c r="E311" s="18" t="inlineStr">
        <is>
          <t>UN</t>
        </is>
      </c>
      <c r="F311" s="19" t="n">
        <v>115.0</v>
      </c>
      <c r="G311" s="20" t="n">
        <v>32.63</v>
      </c>
      <c r="H311" s="20" t="str">
        <f>TRUNC(G311 * (1 + 29.07 / 100), 2)</f>
      </c>
      <c r="I311" s="20" t="str">
        <f>TRUNC(F311 * h311, 2)</f>
      </c>
      <c r="J311" s="21" t="str">
        <f>i311 / 3372490.28</f>
      </c>
    </row>
    <row customHeight="1" ht="39" r="312">
      <c r="A312" s="17" t="inlineStr">
        <is>
          <t> 11.1.6 </t>
        </is>
      </c>
      <c r="B312" s="19" t="inlineStr">
        <is>
          <t> 91941 </t>
        </is>
      </c>
      <c r="C312" s="17" t="inlineStr">
        <is>
          <t>SINAPI</t>
        </is>
      </c>
      <c r="D312" s="17" t="inlineStr">
        <is>
          <t>CAIXA RETANGULAR 4" X 2" BAIXA (0,30 M DO PISO), PVC, INSTALADA EM PAREDE - FORNECIMENTO E INSTALAÇÃO. AF_03/2023</t>
        </is>
      </c>
      <c r="E312" s="18" t="inlineStr">
        <is>
          <t>UN</t>
        </is>
      </c>
      <c r="F312" s="19" t="n">
        <v>97.0</v>
      </c>
      <c r="G312" s="20" t="n">
        <v>11.24</v>
      </c>
      <c r="H312" s="20" t="str">
        <f>TRUNC(G312 * (1 + 29.07 / 100), 2)</f>
      </c>
      <c r="I312" s="20" t="str">
        <f>TRUNC(F312 * h312, 2)</f>
      </c>
      <c r="J312" s="21" t="str">
        <f>i312 / 3372490.28</f>
      </c>
    </row>
    <row customHeight="1" ht="39" r="313">
      <c r="A313" s="17" t="inlineStr">
        <is>
          <t> 11.1.7 </t>
        </is>
      </c>
      <c r="B313" s="19" t="inlineStr">
        <is>
          <t> 91940 </t>
        </is>
      </c>
      <c r="C313" s="17" t="inlineStr">
        <is>
          <t>SINAPI</t>
        </is>
      </c>
      <c r="D313" s="17" t="inlineStr">
        <is>
          <t>CAIXA RETANGULAR 4" X 2" MÉDIA (1,30 M DO PISO), PVC, INSTALADA EM PAREDE - FORNECIMENTO E INSTALAÇÃO. AF_03/2023</t>
        </is>
      </c>
      <c r="E313" s="18" t="inlineStr">
        <is>
          <t>UN</t>
        </is>
      </c>
      <c r="F313" s="19" t="n">
        <v>28.0</v>
      </c>
      <c r="G313" s="20" t="n">
        <v>17.79</v>
      </c>
      <c r="H313" s="20" t="str">
        <f>TRUNC(G313 * (1 + 29.07 / 100), 2)</f>
      </c>
      <c r="I313" s="20" t="str">
        <f>TRUNC(F313 * h313, 2)</f>
      </c>
      <c r="J313" s="21" t="str">
        <f>i313 / 3372490.28</f>
      </c>
    </row>
    <row customHeight="1" ht="39" r="314">
      <c r="A314" s="17" t="inlineStr">
        <is>
          <t> 11.1.8 </t>
        </is>
      </c>
      <c r="B314" s="19" t="inlineStr">
        <is>
          <t> 91939 </t>
        </is>
      </c>
      <c r="C314" s="17" t="inlineStr">
        <is>
          <t>SINAPI</t>
        </is>
      </c>
      <c r="D314" s="17" t="inlineStr">
        <is>
          <t>CAIXA RETANGULAR 4" X 2" ALTA (2,00 M DO PISO), PVC, INSTALADA EM PAREDE - FORNECIMENTO E INSTALAÇÃO. AF_03/2023</t>
        </is>
      </c>
      <c r="E314" s="18" t="inlineStr">
        <is>
          <t>UN</t>
        </is>
      </c>
      <c r="F314" s="19" t="n">
        <v>40.0</v>
      </c>
      <c r="G314" s="20" t="n">
        <v>31.15</v>
      </c>
      <c r="H314" s="20" t="str">
        <f>TRUNC(G314 * (1 + 29.07 / 100), 2)</f>
      </c>
      <c r="I314" s="20" t="str">
        <f>TRUNC(F314 * h314, 2)</f>
      </c>
      <c r="J314" s="21" t="str">
        <f>i314 / 3372490.28</f>
      </c>
    </row>
    <row customHeight="1" ht="39" r="315">
      <c r="A315" s="17" t="inlineStr">
        <is>
          <t> 11.1.10 </t>
        </is>
      </c>
      <c r="B315" s="19" t="inlineStr">
        <is>
          <t> 92867 </t>
        </is>
      </c>
      <c r="C315" s="17" t="inlineStr">
        <is>
          <t>SINAPI</t>
        </is>
      </c>
      <c r="D315" s="17" t="inlineStr">
        <is>
          <t>CAIXA RETANGULAR 4" X 2" ALTA (2,00 M DO PISO), METÁLICA, INSTALADA EM PAREDE - FORNECIMENTO E INSTALAÇÃO. AF_03/2023</t>
        </is>
      </c>
      <c r="E315" s="18" t="inlineStr">
        <is>
          <t>UN</t>
        </is>
      </c>
      <c r="F315" s="19" t="n">
        <v>9.0</v>
      </c>
      <c r="G315" s="20" t="n">
        <v>30.46</v>
      </c>
      <c r="H315" s="20" t="str">
        <f>TRUNC(G315 * (1 + 29.07 / 100), 2)</f>
      </c>
      <c r="I315" s="20" t="str">
        <f>TRUNC(F315 * h315, 2)</f>
      </c>
      <c r="J315" s="21" t="str">
        <f>i315 / 3372490.28</f>
      </c>
    </row>
    <row customHeight="1" ht="39" r="316">
      <c r="A316" s="17" t="inlineStr">
        <is>
          <t> 11.1.12 </t>
        </is>
      </c>
      <c r="B316" s="19" t="inlineStr">
        <is>
          <t> 95789 </t>
        </is>
      </c>
      <c r="C316" s="17" t="inlineStr">
        <is>
          <t>SINAPI</t>
        </is>
      </c>
      <c r="D316" s="17" t="inlineStr">
        <is>
          <t>CONDULETE DE ALUMÍNIO, TIPO LR, PARA ELETRODUTO DE AÇO GALVANIZADO DN 25 MM (1</t>
        </is>
      </c>
      <c r="E316" s="18" t="inlineStr">
        <is>
          <t>UN</t>
        </is>
      </c>
      <c r="F316" s="19" t="n">
        <v>5.0</v>
      </c>
      <c r="G316" s="20" t="n">
        <v>43.08</v>
      </c>
      <c r="H316" s="20" t="str">
        <f>TRUNC(G316 * (1 + 29.07 / 100), 2)</f>
      </c>
      <c r="I316" s="20" t="str">
        <f>TRUNC(F316 * h316, 2)</f>
      </c>
      <c r="J316" s="21" t="str">
        <f>i316 / 3372490.28</f>
      </c>
    </row>
    <row customHeight="1" ht="26" r="317">
      <c r="A317" s="17" t="inlineStr">
        <is>
          <t> 11.1.12 </t>
        </is>
      </c>
      <c r="B317" s="19" t="inlineStr">
        <is>
          <t> SEMAP 00.03.015 </t>
        </is>
      </c>
      <c r="C317" s="17" t="inlineStr">
        <is>
          <t>Próprio</t>
        </is>
      </c>
      <c r="D317" s="17" t="inlineStr">
        <is>
          <t>CURVA PARA ELETRODUTO DE AÇO GALVANIZADO, 3/4", APARENTE - FORNECIMENTO E INSTALAÇÃO</t>
        </is>
      </c>
      <c r="E317" s="18" t="inlineStr">
        <is>
          <t>UND</t>
        </is>
      </c>
      <c r="F317" s="19" t="n">
        <v>179.0</v>
      </c>
      <c r="G317" s="20" t="n">
        <v>14.8</v>
      </c>
      <c r="H317" s="20" t="str">
        <f>TRUNC(G317 * (1 + 29.07 / 100), 2)</f>
      </c>
      <c r="I317" s="20" t="str">
        <f>TRUNC(F317 * h317, 2)</f>
      </c>
      <c r="J317" s="21" t="str">
        <f>i317 / 3372490.28</f>
      </c>
    </row>
    <row customHeight="1" ht="39" r="318">
      <c r="A318" s="17" t="inlineStr">
        <is>
          <t> 11.1.13 </t>
        </is>
      </c>
      <c r="B318" s="19" t="inlineStr">
        <is>
          <t> 95787 </t>
        </is>
      </c>
      <c r="C318" s="17" t="inlineStr">
        <is>
          <t>SINAPI</t>
        </is>
      </c>
      <c r="D318" s="17" t="inlineStr">
        <is>
          <t>CONDULETE DE ALUMÍNIO, TIPO LR, PARA ELETRODUTO DE AÇO GALVANIZADO DN 20 MM (3/4</t>
        </is>
      </c>
      <c r="E318" s="18" t="inlineStr">
        <is>
          <t>UN</t>
        </is>
      </c>
      <c r="F318" s="19" t="n">
        <v>56.0</v>
      </c>
      <c r="G318" s="20" t="n">
        <v>31.0</v>
      </c>
      <c r="H318" s="20" t="str">
        <f>TRUNC(G318 * (1 + 29.07 / 100), 2)</f>
      </c>
      <c r="I318" s="20" t="str">
        <f>TRUNC(F318 * h318, 2)</f>
      </c>
      <c r="J318" s="21" t="str">
        <f>i318 / 3372490.28</f>
      </c>
    </row>
    <row customHeight="1" ht="39" r="319">
      <c r="A319" s="17" t="inlineStr">
        <is>
          <t> 11.1.14 </t>
        </is>
      </c>
      <c r="B319" s="19" t="inlineStr">
        <is>
          <t> 95796 </t>
        </is>
      </c>
      <c r="C319" s="17" t="inlineStr">
        <is>
          <t>SINAPI</t>
        </is>
      </c>
      <c r="D319" s="17" t="inlineStr">
        <is>
          <t>CONDULETE DE ALUMÍNIO, TIPO T, PARA ELETRODUTO DE AÇO GALVANIZADO DN 25 MM (1</t>
        </is>
      </c>
      <c r="E319" s="18" t="inlineStr">
        <is>
          <t>UN</t>
        </is>
      </c>
      <c r="F319" s="19" t="n">
        <v>9.0</v>
      </c>
      <c r="G319" s="20" t="n">
        <v>50.66</v>
      </c>
      <c r="H319" s="20" t="str">
        <f>TRUNC(G319 * (1 + 29.07 / 100), 2)</f>
      </c>
      <c r="I319" s="20" t="str">
        <f>TRUNC(F319 * h319, 2)</f>
      </c>
      <c r="J319" s="21" t="str">
        <f>i319 / 3372490.28</f>
      </c>
    </row>
    <row customHeight="1" ht="39" r="320">
      <c r="A320" s="17" t="inlineStr">
        <is>
          <t> 11.1.15 </t>
        </is>
      </c>
      <c r="B320" s="19" t="inlineStr">
        <is>
          <t> 95795 </t>
        </is>
      </c>
      <c r="C320" s="17" t="inlineStr">
        <is>
          <t>SINAPI</t>
        </is>
      </c>
      <c r="D320" s="17" t="inlineStr">
        <is>
          <t>CONDULETE DE ALUMÍNIO, TIPO T, PARA ELETRODUTO DE AÇO GALVANIZADO DN 20 MM (3/4</t>
        </is>
      </c>
      <c r="E320" s="18" t="inlineStr">
        <is>
          <t>UN</t>
        </is>
      </c>
      <c r="F320" s="19" t="n">
        <v>121.0</v>
      </c>
      <c r="G320" s="20" t="n">
        <v>35.41</v>
      </c>
      <c r="H320" s="20" t="str">
        <f>TRUNC(G320 * (1 + 29.07 / 100), 2)</f>
      </c>
      <c r="I320" s="20" t="str">
        <f>TRUNC(F320 * h320, 2)</f>
      </c>
      <c r="J320" s="21" t="str">
        <f>i320 / 3372490.28</f>
      </c>
    </row>
    <row customHeight="1" ht="39" r="321">
      <c r="A321" s="17" t="inlineStr">
        <is>
          <t> 11.1.16 </t>
        </is>
      </c>
      <c r="B321" s="19" t="inlineStr">
        <is>
          <t> 95801 </t>
        </is>
      </c>
      <c r="C321" s="17" t="inlineStr">
        <is>
          <t>SINAPI</t>
        </is>
      </c>
      <c r="D321" s="17" t="inlineStr">
        <is>
          <t>CONDULETE DE ALUMÍNIO, TIPO X, PARA ELETRODUTO DE AÇO GALVANIZADO DN 20 MM (3/4</t>
        </is>
      </c>
      <c r="E321" s="18" t="inlineStr">
        <is>
          <t>UN</t>
        </is>
      </c>
      <c r="F321" s="19" t="n">
        <v>30.0</v>
      </c>
      <c r="G321" s="20" t="n">
        <v>42.91</v>
      </c>
      <c r="H321" s="20" t="str">
        <f>TRUNC(G321 * (1 + 29.07 / 100), 2)</f>
      </c>
      <c r="I321" s="20" t="str">
        <f>TRUNC(F321 * h321, 2)</f>
      </c>
      <c r="J321" s="21" t="str">
        <f>i321 / 3372490.28</f>
      </c>
    </row>
    <row customHeight="1" ht="39" r="322">
      <c r="A322" s="17" t="inlineStr">
        <is>
          <t> 11.1.17 </t>
        </is>
      </c>
      <c r="B322" s="19" t="inlineStr">
        <is>
          <t> 92023 </t>
        </is>
      </c>
      <c r="C322" s="17" t="inlineStr">
        <is>
          <t>SINAPI</t>
        </is>
      </c>
      <c r="D322" s="17" t="inlineStr">
        <is>
          <t>INTERRUPTOR SIMPLES (1 MÓDULO) COM 1 TOMADA DE EMBUTIR 2P+T 10 A, INCLUINDO SUPORTE E PLACA - FORNECIMENTO E INSTALAÇÃO. AF_03/2023</t>
        </is>
      </c>
      <c r="E322" s="18" t="inlineStr">
        <is>
          <t>UN</t>
        </is>
      </c>
      <c r="F322" s="19" t="n">
        <v>1.0</v>
      </c>
      <c r="G322" s="20" t="n">
        <v>46.17</v>
      </c>
      <c r="H322" s="20" t="str">
        <f>TRUNC(G322 * (1 + 29.07 / 100), 2)</f>
      </c>
      <c r="I322" s="20" t="str">
        <f>TRUNC(F322 * h322, 2)</f>
      </c>
      <c r="J322" s="21" t="str">
        <f>i322 / 3372490.28</f>
      </c>
    </row>
    <row customHeight="1" ht="39" r="323">
      <c r="A323" s="17" t="inlineStr">
        <is>
          <t> 11.1.18 </t>
        </is>
      </c>
      <c r="B323" s="19" t="inlineStr">
        <is>
          <t> 91953 </t>
        </is>
      </c>
      <c r="C323" s="17" t="inlineStr">
        <is>
          <t>SINAPI</t>
        </is>
      </c>
      <c r="D323" s="17" t="inlineStr">
        <is>
          <t>INTERRUPTOR SIMPLES (1 MÓDULO), 10A/250V, INCLUINDO SUPORTE E PLACA - FORNECIMENTO E INSTALAÇÃO. AF_03/2023</t>
        </is>
      </c>
      <c r="E323" s="18" t="inlineStr">
        <is>
          <t>UN</t>
        </is>
      </c>
      <c r="F323" s="19" t="n">
        <v>8.0</v>
      </c>
      <c r="G323" s="20" t="n">
        <v>27.12</v>
      </c>
      <c r="H323" s="20" t="str">
        <f>TRUNC(G323 * (1 + 29.07 / 100), 2)</f>
      </c>
      <c r="I323" s="20" t="str">
        <f>TRUNC(F323 * h323, 2)</f>
      </c>
      <c r="J323" s="21" t="str">
        <f>i323 / 3372490.28</f>
      </c>
    </row>
    <row customHeight="1" ht="39" r="324">
      <c r="A324" s="17" t="inlineStr">
        <is>
          <t> 11.1.19 </t>
        </is>
      </c>
      <c r="B324" s="19" t="inlineStr">
        <is>
          <t> 91959 </t>
        </is>
      </c>
      <c r="C324" s="17" t="inlineStr">
        <is>
          <t>SINAPI</t>
        </is>
      </c>
      <c r="D324" s="17" t="inlineStr">
        <is>
          <t>INTERRUPTOR SIMPLES (2 MÓDULOS), 10A/250V, INCLUINDO SUPORTE E PLACA - FORNECIMENTO E INSTALAÇÃO. AF_03/2023</t>
        </is>
      </c>
      <c r="E324" s="18" t="inlineStr">
        <is>
          <t>UN</t>
        </is>
      </c>
      <c r="F324" s="19" t="n">
        <v>20.0</v>
      </c>
      <c r="G324" s="20" t="n">
        <v>41.11</v>
      </c>
      <c r="H324" s="20" t="str">
        <f>TRUNC(G324 * (1 + 29.07 / 100), 2)</f>
      </c>
      <c r="I324" s="20" t="str">
        <f>TRUNC(F324 * h324, 2)</f>
      </c>
      <c r="J324" s="21" t="str">
        <f>i324 / 3372490.28</f>
      </c>
    </row>
    <row customHeight="1" ht="39" r="325">
      <c r="A325" s="17" t="inlineStr">
        <is>
          <t> 11.1.20 </t>
        </is>
      </c>
      <c r="B325" s="19" t="inlineStr">
        <is>
          <t> 91967 </t>
        </is>
      </c>
      <c r="C325" s="17" t="inlineStr">
        <is>
          <t>SINAPI</t>
        </is>
      </c>
      <c r="D325" s="17" t="inlineStr">
        <is>
          <t>INTERRUPTOR SIMPLES (3 MÓDULOS), 10A/250V, INCLUINDO SUPORTE E PLACA - FORNECIMENTO E INSTALAÇÃO. AF_03/2023</t>
        </is>
      </c>
      <c r="E325" s="18" t="inlineStr">
        <is>
          <t>UN</t>
        </is>
      </c>
      <c r="F325" s="19" t="n">
        <v>3.0</v>
      </c>
      <c r="G325" s="20" t="n">
        <v>55.09</v>
      </c>
      <c r="H325" s="20" t="str">
        <f>TRUNC(G325 * (1 + 29.07 / 100), 2)</f>
      </c>
      <c r="I325" s="20" t="str">
        <f>TRUNC(F325 * h325, 2)</f>
      </c>
      <c r="J325" s="21" t="str">
        <f>i325 / 3372490.28</f>
      </c>
    </row>
    <row customHeight="1" ht="39" r="326">
      <c r="A326" s="17" t="inlineStr">
        <is>
          <t> 11.1.21 </t>
        </is>
      </c>
      <c r="B326" s="19" t="inlineStr">
        <is>
          <t> 92008 </t>
        </is>
      </c>
      <c r="C326" s="17" t="inlineStr">
        <is>
          <t>SINAPI</t>
        </is>
      </c>
      <c r="D326" s="17" t="inlineStr">
        <is>
          <t>TOMADA BAIXA DE EMBUTIR (2 MÓDULOS), 2P+T 10 A, INCLUINDO SUPORTE E PLACA - FORNECIMENTO E INSTALAÇÃO. AF_03/2023</t>
        </is>
      </c>
      <c r="E326" s="18" t="inlineStr">
        <is>
          <t>UN</t>
        </is>
      </c>
      <c r="F326" s="19" t="n">
        <v>30.0</v>
      </c>
      <c r="G326" s="20" t="n">
        <v>43.55</v>
      </c>
      <c r="H326" s="20" t="str">
        <f>TRUNC(G326 * (1 + 29.07 / 100), 2)</f>
      </c>
      <c r="I326" s="20" t="str">
        <f>TRUNC(F326 * h326, 2)</f>
      </c>
      <c r="J326" s="21" t="str">
        <f>i326 / 3372490.28</f>
      </c>
    </row>
    <row customHeight="1" ht="39" r="327">
      <c r="A327" s="17" t="inlineStr">
        <is>
          <t> 11.1.22 </t>
        </is>
      </c>
      <c r="B327" s="19" t="inlineStr">
        <is>
          <t> 92000 </t>
        </is>
      </c>
      <c r="C327" s="17" t="inlineStr">
        <is>
          <t>SINAPI</t>
        </is>
      </c>
      <c r="D327" s="17" t="inlineStr">
        <is>
          <t>TOMADA BAIXA DE EMBUTIR (1 MÓDULO), 2P+T 10 A, INCLUINDO SUPORTE E PLACA - FORNECIMENTO E INSTALAÇÃO. AF_03/2023</t>
        </is>
      </c>
      <c r="E327" s="18" t="inlineStr">
        <is>
          <t>UN</t>
        </is>
      </c>
      <c r="F327" s="19" t="n">
        <v>45.0</v>
      </c>
      <c r="G327" s="20" t="n">
        <v>28.37</v>
      </c>
      <c r="H327" s="20" t="str">
        <f>TRUNC(G327 * (1 + 29.07 / 100), 2)</f>
      </c>
      <c r="I327" s="20" t="str">
        <f>TRUNC(F327 * h327, 2)</f>
      </c>
      <c r="J327" s="21" t="str">
        <f>i327 / 3372490.28</f>
      </c>
    </row>
    <row customHeight="1" ht="39" r="328">
      <c r="A328" s="17" t="inlineStr">
        <is>
          <t> 11.1.23 </t>
        </is>
      </c>
      <c r="B328" s="19" t="inlineStr">
        <is>
          <t> 91996 </t>
        </is>
      </c>
      <c r="C328" s="17" t="inlineStr">
        <is>
          <t>SINAPI</t>
        </is>
      </c>
      <c r="D328" s="17" t="inlineStr">
        <is>
          <t>TOMADA MÉDIA DE EMBUTIR (1 MÓDULO), 2P+T 10 A, INCLUINDO SUPORTE E PLACA - FORNECIMENTO E INSTALAÇÃO. AF_03/2023</t>
        </is>
      </c>
      <c r="E328" s="18" t="inlineStr">
        <is>
          <t>UN</t>
        </is>
      </c>
      <c r="F328" s="19" t="n">
        <v>37.0</v>
      </c>
      <c r="G328" s="20" t="n">
        <v>32.24</v>
      </c>
      <c r="H328" s="20" t="str">
        <f>TRUNC(G328 * (1 + 29.07 / 100), 2)</f>
      </c>
      <c r="I328" s="20" t="str">
        <f>TRUNC(F328 * h328, 2)</f>
      </c>
      <c r="J328" s="21" t="str">
        <f>i328 / 3372490.28</f>
      </c>
    </row>
    <row customHeight="1" ht="39" r="329">
      <c r="A329" s="17" t="inlineStr">
        <is>
          <t> 11.1.24 </t>
        </is>
      </c>
      <c r="B329" s="19" t="inlineStr">
        <is>
          <t> 91992 </t>
        </is>
      </c>
      <c r="C329" s="17" t="inlineStr">
        <is>
          <t>SINAPI</t>
        </is>
      </c>
      <c r="D329" s="17" t="inlineStr">
        <is>
          <t>TOMADA ALTA DE EMBUTIR (1 MÓDULO), 2P+T 10 A, INCLUINDO SUPORTE E PLACA - FORNECIMENTO E INSTALAÇÃO. AF_03/2023</t>
        </is>
      </c>
      <c r="E329" s="18" t="inlineStr">
        <is>
          <t>UN</t>
        </is>
      </c>
      <c r="F329" s="19" t="n">
        <v>40.0</v>
      </c>
      <c r="G329" s="20" t="n">
        <v>42.24</v>
      </c>
      <c r="H329" s="20" t="str">
        <f>TRUNC(G329 * (1 + 29.07 / 100), 2)</f>
      </c>
      <c r="I329" s="20" t="str">
        <f>TRUNC(F329 * h329, 2)</f>
      </c>
      <c r="J329" s="21" t="str">
        <f>i329 / 3372490.28</f>
      </c>
    </row>
    <row customHeight="1" ht="39" r="330">
      <c r="A330" s="17" t="inlineStr">
        <is>
          <t> 11.1.25 </t>
        </is>
      </c>
      <c r="B330" s="19" t="inlineStr">
        <is>
          <t> 91997 </t>
        </is>
      </c>
      <c r="C330" s="17" t="inlineStr">
        <is>
          <t>SINAPI</t>
        </is>
      </c>
      <c r="D330" s="17" t="inlineStr">
        <is>
          <t>TOMADA MÉDIA DE EMBUTIR (1 MÓDULO), 2P+T 20 A, INCLUINDO SUPORTE E PLACA - FORNECIMENTO E INSTALAÇÃO. AF_03/2023</t>
        </is>
      </c>
      <c r="E330" s="18" t="inlineStr">
        <is>
          <t>UN</t>
        </is>
      </c>
      <c r="F330" s="19" t="n">
        <v>9.0</v>
      </c>
      <c r="G330" s="20" t="n">
        <v>33.9</v>
      </c>
      <c r="H330" s="20" t="str">
        <f>TRUNC(G330 * (1 + 29.07 / 100), 2)</f>
      </c>
      <c r="I330" s="20" t="str">
        <f>TRUNC(F330 * h330, 2)</f>
      </c>
      <c r="J330" s="21" t="str">
        <f>i330 / 3372490.28</f>
      </c>
    </row>
    <row customHeight="1" ht="26" r="331">
      <c r="A331" s="17" t="inlineStr">
        <is>
          <t> 11.1.26 </t>
        </is>
      </c>
      <c r="B331" s="19" t="inlineStr">
        <is>
          <t> SEMAP 00.02.017 </t>
        </is>
      </c>
      <c r="C331" s="17" t="inlineStr">
        <is>
          <t>Próprio</t>
        </is>
      </c>
      <c r="D331" s="17" t="inlineStr">
        <is>
          <t>TOMADA 2P+T 10A (2 MÓDULOS) EM CONDULETE DE ALUMÍNIO - FORNECIMENTO E INSTALAÇÃO</t>
        </is>
      </c>
      <c r="E331" s="18" t="inlineStr">
        <is>
          <t>UND</t>
        </is>
      </c>
      <c r="F331" s="19" t="n">
        <v>12.0</v>
      </c>
      <c r="G331" s="20" t="n">
        <v>48.02</v>
      </c>
      <c r="H331" s="20" t="str">
        <f>TRUNC(G331 * (1 + 29.07 / 100), 2)</f>
      </c>
      <c r="I331" s="20" t="str">
        <f>TRUNC(F331 * h331, 2)</f>
      </c>
      <c r="J331" s="21" t="str">
        <f>i331 / 3372490.28</f>
      </c>
    </row>
    <row customHeight="1" ht="26" r="332">
      <c r="A332" s="17" t="inlineStr">
        <is>
          <t> 11.1.27 </t>
        </is>
      </c>
      <c r="B332" s="19" t="inlineStr">
        <is>
          <t> SEMAP 00.02.015 </t>
        </is>
      </c>
      <c r="C332" s="17" t="inlineStr">
        <is>
          <t>Próprio</t>
        </is>
      </c>
      <c r="D332" s="17" t="inlineStr">
        <is>
          <t>TOMADA 2P+T 10A (1 MÓDULO) EM CONDULETE DE ALUMÍNIO - FORNECIMENTO E INSTALAÇÃO</t>
        </is>
      </c>
      <c r="E332" s="18" t="inlineStr">
        <is>
          <t>UND</t>
        </is>
      </c>
      <c r="F332" s="19" t="n">
        <v>14.0</v>
      </c>
      <c r="G332" s="20" t="n">
        <v>32.73</v>
      </c>
      <c r="H332" s="20" t="str">
        <f>TRUNC(G332 * (1 + 29.07 / 100), 2)</f>
      </c>
      <c r="I332" s="20" t="str">
        <f>TRUNC(F332 * h332, 2)</f>
      </c>
      <c r="J332" s="21" t="str">
        <f>i332 / 3372490.28</f>
      </c>
    </row>
    <row customHeight="1" ht="39" r="333">
      <c r="A333" s="17" t="inlineStr">
        <is>
          <t> 11.1.28 </t>
        </is>
      </c>
      <c r="B333" s="19" t="inlineStr">
        <is>
          <t> SEMAP 00.00.003 </t>
        </is>
      </c>
      <c r="C333" s="17" t="inlineStr">
        <is>
          <t>Próprio</t>
        </is>
      </c>
      <c r="D333" s="17" t="inlineStr">
        <is>
          <t>LUMINÁRIA DE SOBREPOR DE 120CM PARA LÂMPADA TUBULAR LED 1x18/20w, COMPLETA COM ALETAS E LÂMPADA TUBO LED</t>
        </is>
      </c>
      <c r="E333" s="18" t="inlineStr">
        <is>
          <t>UND</t>
        </is>
      </c>
      <c r="F333" s="19" t="n">
        <v>17.0</v>
      </c>
      <c r="G333" s="20" t="n">
        <v>67.12</v>
      </c>
      <c r="H333" s="20" t="str">
        <f>TRUNC(G333 * (1 + 29.07 / 100), 2)</f>
      </c>
      <c r="I333" s="20" t="str">
        <f>TRUNC(F333 * h333, 2)</f>
      </c>
      <c r="J333" s="21" t="str">
        <f>i333 / 3372490.28</f>
      </c>
    </row>
    <row customHeight="1" ht="26" r="334">
      <c r="A334" s="17" t="inlineStr">
        <is>
          <t> 11.1.29 </t>
        </is>
      </c>
      <c r="B334" s="19" t="inlineStr">
        <is>
          <t> SEMAI 00.00.001 </t>
        </is>
      </c>
      <c r="C334" s="17" t="inlineStr">
        <is>
          <t>Próprio</t>
        </is>
      </c>
      <c r="D334" s="17" t="inlineStr">
        <is>
          <t>LUMINÁRIA DE SOBREPOR DE 120CM PARA LÂMPADA TUBULAR LED 2x18/20W, COMPLETA COM ALETAS E LÂMPADA</t>
        </is>
      </c>
      <c r="E334" s="18" t="inlineStr">
        <is>
          <t>UND</t>
        </is>
      </c>
      <c r="F334" s="19" t="n">
        <v>144.0</v>
      </c>
      <c r="G334" s="20" t="n">
        <v>186.01</v>
      </c>
      <c r="H334" s="20" t="str">
        <f>TRUNC(G334 * (1 + 29.07 / 100), 2)</f>
      </c>
      <c r="I334" s="20" t="str">
        <f>TRUNC(F334 * h334, 2)</f>
      </c>
      <c r="J334" s="21" t="str">
        <f>i334 / 3372490.28</f>
      </c>
    </row>
    <row customHeight="1" ht="39" r="335">
      <c r="A335" s="17" t="inlineStr">
        <is>
          <t> 11.1.30 </t>
        </is>
      </c>
      <c r="B335" s="19" t="inlineStr">
        <is>
          <t> IP0179 </t>
        </is>
      </c>
      <c r="C335" s="17" t="inlineStr">
        <is>
          <t>Próprio</t>
        </is>
      </c>
      <c r="D335" s="17" t="inlineStr">
        <is>
          <t>ELETRODUTO FLEXÍVEL CORRUGADO, PEAD, DN 40 (1 1/4"), PARA REDE ENTERRADA DE DISTRIBUIÇÃO DE ENERGIA ELÉTRICA - FORNECIMENTO E INSTALAÇÃO</t>
        </is>
      </c>
      <c r="E335" s="18" t="inlineStr">
        <is>
          <t>M</t>
        </is>
      </c>
      <c r="F335" s="19" t="n">
        <v>65.0</v>
      </c>
      <c r="G335" s="20" t="n">
        <v>9.63</v>
      </c>
      <c r="H335" s="20" t="str">
        <f>TRUNC(G335 * (1 + 29.07 / 100), 2)</f>
      </c>
      <c r="I335" s="20" t="str">
        <f>TRUNC(F335 * h335, 2)</f>
      </c>
      <c r="J335" s="21" t="str">
        <f>i335 / 3372490.28</f>
      </c>
    </row>
    <row customHeight="1" ht="39" r="336">
      <c r="A336" s="17" t="inlineStr">
        <is>
          <t> 11.1.31 </t>
        </is>
      </c>
      <c r="B336" s="19" t="inlineStr">
        <is>
          <t> SEMAP 00.03.022 </t>
        </is>
      </c>
      <c r="C336" s="17" t="inlineStr">
        <is>
          <t>Próprio</t>
        </is>
      </c>
      <c r="D336" s="17" t="inlineStr">
        <is>
          <t>ELETRODUTO FLEXÍVEL METÁLICO 3/4" FABRICADO EM AÇO REVESTIDO COM PVC EXTRUDADO (SEALTUBO) - FORNECIMENTO E INSTALAÇÃO</t>
        </is>
      </c>
      <c r="E336" s="18" t="inlineStr">
        <is>
          <t>M</t>
        </is>
      </c>
      <c r="F336" s="19" t="n">
        <v>7.0</v>
      </c>
      <c r="G336" s="20" t="n">
        <v>20.11</v>
      </c>
      <c r="H336" s="20" t="str">
        <f>TRUNC(G336 * (1 + 29.07 / 100), 2)</f>
      </c>
      <c r="I336" s="20" t="str">
        <f>TRUNC(F336 * h336, 2)</f>
      </c>
      <c r="J336" s="21" t="str">
        <f>i336 / 3372490.28</f>
      </c>
    </row>
    <row customHeight="1" ht="26" r="337">
      <c r="A337" s="17" t="inlineStr">
        <is>
          <t> 11.1.32 </t>
        </is>
      </c>
      <c r="B337" s="19" t="inlineStr">
        <is>
          <t> SEMAP 00.02.012 </t>
        </is>
      </c>
      <c r="C337" s="17" t="inlineStr">
        <is>
          <t>Próprio</t>
        </is>
      </c>
      <c r="D337" s="17" t="inlineStr">
        <is>
          <t>INTERRUPTOR 1 TECLA SIMPLES EM CONDULETE DE ALUMINIO</t>
        </is>
      </c>
      <c r="E337" s="18" t="inlineStr">
        <is>
          <t>UND</t>
        </is>
      </c>
      <c r="F337" s="19" t="n">
        <v>1.0</v>
      </c>
      <c r="G337" s="20" t="n">
        <v>37.77</v>
      </c>
      <c r="H337" s="20" t="str">
        <f>TRUNC(G337 * (1 + 29.07 / 100), 2)</f>
      </c>
      <c r="I337" s="20" t="str">
        <f>TRUNC(F337 * h337, 2)</f>
      </c>
      <c r="J337" s="21" t="str">
        <f>i337 / 3372490.28</f>
      </c>
    </row>
    <row customHeight="1" ht="39" r="338">
      <c r="A338" s="17" t="inlineStr">
        <is>
          <t> 11.1.33 </t>
        </is>
      </c>
      <c r="B338" s="19" t="inlineStr">
        <is>
          <t> ELET004 </t>
        </is>
      </c>
      <c r="C338" s="17" t="inlineStr">
        <is>
          <t>Próprio</t>
        </is>
      </c>
      <c r="D338" s="17" t="inlineStr">
        <is>
          <t>LUMINÁRIA ARANDELA TIPO TARTARUGA SLIM, LED USO EXTERNO 15 / 18 W BIVOLT - FORNECIMENTO E INSTALAÇÃO</t>
        </is>
      </c>
      <c r="E338" s="18" t="inlineStr">
        <is>
          <t>UND</t>
        </is>
      </c>
      <c r="F338" s="19" t="n">
        <v>2.0</v>
      </c>
      <c r="G338" s="20" t="n">
        <v>108.16</v>
      </c>
      <c r="H338" s="20" t="str">
        <f>TRUNC(G338 * (1 + 29.07 / 100), 2)</f>
      </c>
      <c r="I338" s="20" t="str">
        <f>TRUNC(F338 * h338, 2)</f>
      </c>
      <c r="J338" s="21" t="str">
        <f>i338 / 3372490.28</f>
      </c>
    </row>
    <row customHeight="1" ht="24" r="339">
      <c r="A339" s="9" t="inlineStr">
        <is>
          <t> 11.2 </t>
        </is>
      </c>
      <c r="B339" s="9"/>
      <c r="C339" s="9"/>
      <c r="D339" s="9" t="inlineStr">
        <is>
          <t>ALIMENTADORES</t>
        </is>
      </c>
      <c r="E339" s="9"/>
      <c r="F339" s="11"/>
      <c r="G339" s="9"/>
      <c r="H339" s="9"/>
      <c r="I339" s="12" t="n">
        <v>48792.89</v>
      </c>
      <c r="J339" s="13" t="str">
        <f>i339 / 3372490.28</f>
      </c>
    </row>
    <row customHeight="1" ht="26" r="340">
      <c r="A340" s="17" t="inlineStr">
        <is>
          <t> 11.2.1 </t>
        </is>
      </c>
      <c r="B340" s="19" t="inlineStr">
        <is>
          <t> SEMAP 00.04.020 </t>
        </is>
      </c>
      <c r="C340" s="17" t="inlineStr">
        <is>
          <t>Próprio</t>
        </is>
      </c>
      <c r="D340" s="17" t="inlineStr">
        <is>
          <t>DISJUNTOR BIPOLAR DR 25 A  - DISPOSITIVO RESIDUAL DIFERENCIAL, TIPO AC, 30MA</t>
        </is>
      </c>
      <c r="E340" s="18" t="inlineStr">
        <is>
          <t>un</t>
        </is>
      </c>
      <c r="F340" s="19" t="n">
        <v>7.0</v>
      </c>
      <c r="G340" s="20" t="n">
        <v>161.1</v>
      </c>
      <c r="H340" s="20" t="str">
        <f>TRUNC(G340 * (1 + 29.07 / 100), 2)</f>
      </c>
      <c r="I340" s="20" t="str">
        <f>TRUNC(F340 * h340, 2)</f>
      </c>
      <c r="J340" s="21" t="str">
        <f>i340 / 3372490.28</f>
      </c>
    </row>
    <row customHeight="1" ht="26" r="341">
      <c r="A341" s="17" t="inlineStr">
        <is>
          <t> 11.2.2 </t>
        </is>
      </c>
      <c r="B341" s="19" t="inlineStr">
        <is>
          <t> 93655 </t>
        </is>
      </c>
      <c r="C341" s="17" t="inlineStr">
        <is>
          <t>SINAPI</t>
        </is>
      </c>
      <c r="D341" s="17" t="inlineStr">
        <is>
          <t>DISJUNTOR MONOPOLAR TIPO DIN, CORRENTE NOMINAL DE 20A - FORNECIMENTO E INSTALAÇÃO. AF_10/2020</t>
        </is>
      </c>
      <c r="E341" s="18" t="inlineStr">
        <is>
          <t>UN</t>
        </is>
      </c>
      <c r="F341" s="19" t="n">
        <v>68.0</v>
      </c>
      <c r="G341" s="20" t="n">
        <v>13.01</v>
      </c>
      <c r="H341" s="20" t="str">
        <f>TRUNC(G341 * (1 + 29.07 / 100), 2)</f>
      </c>
      <c r="I341" s="20" t="str">
        <f>TRUNC(F341 * h341, 2)</f>
      </c>
      <c r="J341" s="21" t="str">
        <f>i341 / 3372490.28</f>
      </c>
    </row>
    <row customHeight="1" ht="26" r="342">
      <c r="A342" s="17" t="inlineStr">
        <is>
          <t> 11.2.3 </t>
        </is>
      </c>
      <c r="B342" s="19" t="inlineStr">
        <is>
          <t> 93657 </t>
        </is>
      </c>
      <c r="C342" s="17" t="inlineStr">
        <is>
          <t>SINAPI</t>
        </is>
      </c>
      <c r="D342" s="17" t="inlineStr">
        <is>
          <t>DISJUNTOR MONOPOLAR TIPO DIN, CORRENTE NOMINAL DE 32A - FORNECIMENTO E INSTALAÇÃO. AF_10/2020</t>
        </is>
      </c>
      <c r="E342" s="18" t="inlineStr">
        <is>
          <t>UN</t>
        </is>
      </c>
      <c r="F342" s="19" t="n">
        <v>2.0</v>
      </c>
      <c r="G342" s="20" t="n">
        <v>14.5</v>
      </c>
      <c r="H342" s="20" t="str">
        <f>TRUNC(G342 * (1 + 29.07 / 100), 2)</f>
      </c>
      <c r="I342" s="20" t="str">
        <f>TRUNC(F342 * h342, 2)</f>
      </c>
      <c r="J342" s="21" t="str">
        <f>i342 / 3372490.28</f>
      </c>
    </row>
    <row customHeight="1" ht="26" r="343">
      <c r="A343" s="17" t="inlineStr">
        <is>
          <t> 11.2.4 </t>
        </is>
      </c>
      <c r="B343" s="19" t="inlineStr">
        <is>
          <t> 93656 </t>
        </is>
      </c>
      <c r="C343" s="17" t="inlineStr">
        <is>
          <t>SINAPI</t>
        </is>
      </c>
      <c r="D343" s="17" t="inlineStr">
        <is>
          <t>DISJUNTOR MONOPOLAR TIPO DIN, CORRENTE NOMINAL DE 25A - FORNECIMENTO E INSTALAÇÃO. AF_10/2020</t>
        </is>
      </c>
      <c r="E343" s="18" t="inlineStr">
        <is>
          <t>UN</t>
        </is>
      </c>
      <c r="F343" s="19" t="n">
        <v>20.0</v>
      </c>
      <c r="G343" s="20" t="n">
        <v>13.01</v>
      </c>
      <c r="H343" s="20" t="str">
        <f>TRUNC(G343 * (1 + 29.07 / 100), 2)</f>
      </c>
      <c r="I343" s="20" t="str">
        <f>TRUNC(F343 * h343, 2)</f>
      </c>
      <c r="J343" s="21" t="str">
        <f>i343 / 3372490.28</f>
      </c>
    </row>
    <row customHeight="1" ht="26" r="344">
      <c r="A344" s="17" t="inlineStr">
        <is>
          <t> 11.2.5 </t>
        </is>
      </c>
      <c r="B344" s="19" t="inlineStr">
        <is>
          <t> 93671 </t>
        </is>
      </c>
      <c r="C344" s="17" t="inlineStr">
        <is>
          <t>SINAPI</t>
        </is>
      </c>
      <c r="D344" s="17" t="inlineStr">
        <is>
          <t>DISJUNTOR TRIPOLAR TIPO DIN, CORRENTE NOMINAL DE 32A - FORNECIMENTO E INSTALAÇÃO. AF_10/2020</t>
        </is>
      </c>
      <c r="E344" s="18" t="inlineStr">
        <is>
          <t>UN</t>
        </is>
      </c>
      <c r="F344" s="19" t="n">
        <v>4.0</v>
      </c>
      <c r="G344" s="20" t="n">
        <v>77.7</v>
      </c>
      <c r="H344" s="20" t="str">
        <f>TRUNC(G344 * (1 + 29.07 / 100), 2)</f>
      </c>
      <c r="I344" s="20" t="str">
        <f>TRUNC(F344 * h344, 2)</f>
      </c>
      <c r="J344" s="21" t="str">
        <f>i344 / 3372490.28</f>
      </c>
    </row>
    <row customHeight="1" ht="39" r="345">
      <c r="A345" s="17" t="inlineStr">
        <is>
          <t> 11.2.6 </t>
        </is>
      </c>
      <c r="B345" s="19" t="inlineStr">
        <is>
          <t> 101896 </t>
        </is>
      </c>
      <c r="C345" s="17" t="inlineStr">
        <is>
          <t>SINAPI</t>
        </is>
      </c>
      <c r="D345" s="17" t="inlineStr">
        <is>
          <t>DISJUNTOR TERMOMAGNÉTICO TRIPOLAR , CORRENTE NOMINAL DE 175A - FORNECIMENTO E INSTALAÇÃO. AF_10/2020</t>
        </is>
      </c>
      <c r="E345" s="18" t="inlineStr">
        <is>
          <t>UN</t>
        </is>
      </c>
      <c r="F345" s="19" t="n">
        <v>1.0</v>
      </c>
      <c r="G345" s="20" t="n">
        <v>1034.44</v>
      </c>
      <c r="H345" s="20" t="str">
        <f>TRUNC(G345 * (1 + 29.07 / 100), 2)</f>
      </c>
      <c r="I345" s="20" t="str">
        <f>TRUNC(F345 * h345, 2)</f>
      </c>
      <c r="J345" s="21" t="str">
        <f>i345 / 3372490.28</f>
      </c>
    </row>
    <row customHeight="1" ht="26" r="346">
      <c r="A346" s="17" t="inlineStr">
        <is>
          <t> 11.2.6 </t>
        </is>
      </c>
      <c r="B346" s="19" t="inlineStr">
        <is>
          <t> 93658 </t>
        </is>
      </c>
      <c r="C346" s="17" t="inlineStr">
        <is>
          <t>SINAPI</t>
        </is>
      </c>
      <c r="D346" s="17" t="inlineStr">
        <is>
          <t>DISJUNTOR MONOPOLAR TIPO DIN, CORRENTE NOMINAL DE 40A - FORNECIMENTO E INSTALAÇÃO. AF_10/2020</t>
        </is>
      </c>
      <c r="E346" s="18" t="inlineStr">
        <is>
          <t>UN</t>
        </is>
      </c>
      <c r="F346" s="19" t="n">
        <v>2.0</v>
      </c>
      <c r="G346" s="20" t="n">
        <v>20.98</v>
      </c>
      <c r="H346" s="20" t="str">
        <f>TRUNC(G346 * (1 + 29.07 / 100), 2)</f>
      </c>
      <c r="I346" s="20" t="str">
        <f>TRUNC(F346 * h346, 2)</f>
      </c>
      <c r="J346" s="21" t="str">
        <f>i346 / 3372490.28</f>
      </c>
    </row>
    <row customHeight="1" ht="26" r="347">
      <c r="A347" s="17" t="inlineStr">
        <is>
          <t> 11.2.7 </t>
        </is>
      </c>
      <c r="B347" s="19" t="inlineStr">
        <is>
          <t> IP0171 </t>
        </is>
      </c>
      <c r="C347" s="17" t="inlineStr">
        <is>
          <t>Próprio</t>
        </is>
      </c>
      <c r="D347" s="17" t="inlineStr">
        <is>
          <t>DISPOSITIVO DE PROTEÇÃO CONTRA SURTO DE TENSÃO DPS 60 KA - 275V</t>
        </is>
      </c>
      <c r="E347" s="18" t="inlineStr">
        <is>
          <t>UND</t>
        </is>
      </c>
      <c r="F347" s="19" t="n">
        <v>4.0</v>
      </c>
      <c r="G347" s="20" t="n">
        <v>90.36</v>
      </c>
      <c r="H347" s="20" t="str">
        <f>TRUNC(G347 * (1 + 29.07 / 100), 2)</f>
      </c>
      <c r="I347" s="20" t="str">
        <f>TRUNC(F347 * h347, 2)</f>
      </c>
      <c r="J347" s="21" t="str">
        <f>i347 / 3372490.28</f>
      </c>
    </row>
    <row customHeight="1" ht="39" r="348">
      <c r="A348" s="17" t="inlineStr">
        <is>
          <t> 11.2.7 </t>
        </is>
      </c>
      <c r="B348" s="19" t="inlineStr">
        <is>
          <t> SEMAP 00.04.001 </t>
        </is>
      </c>
      <c r="C348" s="17" t="inlineStr">
        <is>
          <t>Próprio</t>
        </is>
      </c>
      <c r="D348" s="17" t="inlineStr">
        <is>
          <t>FORNECIMENTO E INSTALAÇÃO DE DISPOSITIVO DE PROTEÇÃO CONTRA SURTO DE TENSÃO DPS 20kA - 275V - UNIDADE</t>
        </is>
      </c>
      <c r="E348" s="18" t="inlineStr">
        <is>
          <t>UND</t>
        </is>
      </c>
      <c r="F348" s="19" t="n">
        <v>12.0</v>
      </c>
      <c r="G348" s="20" t="n">
        <v>81.68</v>
      </c>
      <c r="H348" s="20" t="str">
        <f>TRUNC(G348 * (1 + 29.07 / 100), 2)</f>
      </c>
      <c r="I348" s="20" t="str">
        <f>TRUNC(F348 * h348, 2)</f>
      </c>
      <c r="J348" s="21" t="str">
        <f>i348 / 3372490.28</f>
      </c>
    </row>
    <row customHeight="1" ht="26" r="349">
      <c r="A349" s="17" t="inlineStr">
        <is>
          <t> 11.2.8 </t>
        </is>
      </c>
      <c r="B349" s="19" t="inlineStr">
        <is>
          <t> ITA0068 </t>
        </is>
      </c>
      <c r="C349" s="17" t="inlineStr">
        <is>
          <t>Próprio</t>
        </is>
      </c>
      <c r="D349" s="17" t="inlineStr">
        <is>
          <t>DISJUNTOR TRIPOLAR TIPO DIN, CORRENTE NOMINAL DE 90A - FORNECIMENTO E INSTALAÇÃO.</t>
        </is>
      </c>
      <c r="E349" s="18" t="inlineStr">
        <is>
          <t>UN</t>
        </is>
      </c>
      <c r="F349" s="19" t="n">
        <v>2.0</v>
      </c>
      <c r="G349" s="20" t="n">
        <v>366.92</v>
      </c>
      <c r="H349" s="20" t="str">
        <f>TRUNC(G349 * (1 + 29.07 / 100), 2)</f>
      </c>
      <c r="I349" s="20" t="str">
        <f>TRUNC(F349 * h349, 2)</f>
      </c>
      <c r="J349" s="21" t="str">
        <f>i349 / 3372490.28</f>
      </c>
    </row>
    <row customHeight="1" ht="52" r="350">
      <c r="A350" s="17" t="inlineStr">
        <is>
          <t> 11.2.9 </t>
        </is>
      </c>
      <c r="B350" s="19" t="inlineStr">
        <is>
          <t> 101882 </t>
        </is>
      </c>
      <c r="C350" s="17" t="inlineStr">
        <is>
          <t>SINAPI</t>
        </is>
      </c>
      <c r="D350" s="17" t="inlineStr">
        <is>
          <t>QUADRO DE DISTRIBUIÇÃO DE ENERGIA EM CHAPA DE AÇO GALVANIZADO, DE EMBUTIR, COM BARRAMENTO TRIFÁSICO, PARA 30 DISJUNTORES DIN 225A - FORNECIMENTO E INSTALAÇÃO. AF_10/2020</t>
        </is>
      </c>
      <c r="E350" s="18" t="inlineStr">
        <is>
          <t>UN</t>
        </is>
      </c>
      <c r="F350" s="19" t="n">
        <v>1.0</v>
      </c>
      <c r="G350" s="20" t="n">
        <v>1248.88</v>
      </c>
      <c r="H350" s="20" t="str">
        <f>TRUNC(G350 * (1 + 29.07 / 100), 2)</f>
      </c>
      <c r="I350" s="20" t="str">
        <f>TRUNC(F350 * h350, 2)</f>
      </c>
      <c r="J350" s="21" t="str">
        <f>i350 / 3372490.28</f>
      </c>
    </row>
    <row customHeight="1" ht="52" r="351">
      <c r="A351" s="17" t="inlineStr">
        <is>
          <t> 11.2.10 </t>
        </is>
      </c>
      <c r="B351" s="19" t="inlineStr">
        <is>
          <t> 101881 </t>
        </is>
      </c>
      <c r="C351" s="17" t="inlineStr">
        <is>
          <t>SINAPI</t>
        </is>
      </c>
      <c r="D351" s="17" t="inlineStr">
        <is>
          <t>QUADRO DE DISTRIBUIÇÃO DE ENERGIA EM CHAPA DE AÇO GALVANIZADO, DE SOBREPOR, COM BARRAMENTO TRIFÁSICO, PARA 50 DISJUNTORES DIN 100A - FORNECIMENTO E INSTALAÇÃO. AF_10/2020</t>
        </is>
      </c>
      <c r="E351" s="18" t="inlineStr">
        <is>
          <t>UN</t>
        </is>
      </c>
      <c r="F351" s="19" t="n">
        <v>1.0</v>
      </c>
      <c r="G351" s="20" t="n">
        <v>882.17</v>
      </c>
      <c r="H351" s="20" t="str">
        <f>TRUNC(G351 * (1 + 29.07 / 100), 2)</f>
      </c>
      <c r="I351" s="20" t="str">
        <f>TRUNC(F351 * h351, 2)</f>
      </c>
      <c r="J351" s="21" t="str">
        <f>i351 / 3372490.28</f>
      </c>
    </row>
    <row customHeight="1" ht="52" r="352">
      <c r="A352" s="17" t="inlineStr">
        <is>
          <t> 11.2.11 </t>
        </is>
      </c>
      <c r="B352" s="19" t="inlineStr">
        <is>
          <t> 101881 </t>
        </is>
      </c>
      <c r="C352" s="17" t="inlineStr">
        <is>
          <t>SINAPI</t>
        </is>
      </c>
      <c r="D352" s="17" t="inlineStr">
        <is>
          <t>QUADRO DE DISTRIBUIÇÃO DE ENERGIA EM CHAPA DE AÇO GALVANIZADO, DE SOBREPOR, COM BARRAMENTO TRIFÁSICO, PARA 40 DISJUNTORES DIN 100A - FORNECIMENTO E INSTALAÇÃO. AF_10/2020</t>
        </is>
      </c>
      <c r="E352" s="18" t="inlineStr">
        <is>
          <t>UN</t>
        </is>
      </c>
      <c r="F352" s="19" t="n">
        <v>2.0</v>
      </c>
      <c r="G352" s="20" t="n">
        <v>882.17</v>
      </c>
      <c r="H352" s="20" t="str">
        <f>TRUNC(G352 * (1 + 29.07 / 100), 2)</f>
      </c>
      <c r="I352" s="20" t="str">
        <f>TRUNC(F352 * h352, 2)</f>
      </c>
      <c r="J352" s="21" t="str">
        <f>i352 / 3372490.28</f>
      </c>
    </row>
    <row customHeight="1" ht="39" r="353">
      <c r="A353" s="17" t="inlineStr">
        <is>
          <t> 11.2.12 </t>
        </is>
      </c>
      <c r="B353" s="19" t="inlineStr">
        <is>
          <t> 91929 </t>
        </is>
      </c>
      <c r="C353" s="17" t="inlineStr">
        <is>
          <t>SINAPI</t>
        </is>
      </c>
      <c r="D353" s="17" t="inlineStr">
        <is>
          <t>CABO DE COBRE FLEXÍVEL ISOLADO, 4 MM², ANTI-CHAMA 0,6/1,0 KV, PARA CIRCUITOS TERMINAIS - FORNECIMENTO E INSTALAÇÃO. AF_03/2023</t>
        </is>
      </c>
      <c r="E353" s="18" t="inlineStr">
        <is>
          <t>M</t>
        </is>
      </c>
      <c r="F353" s="19" t="n">
        <v>70.0</v>
      </c>
      <c r="G353" s="20" t="n">
        <v>6.44</v>
      </c>
      <c r="H353" s="20" t="str">
        <f>TRUNC(G353 * (1 + 29.07 / 100), 2)</f>
      </c>
      <c r="I353" s="20" t="str">
        <f>TRUNC(F353 * h353, 2)</f>
      </c>
      <c r="J353" s="21" t="str">
        <f>i353 / 3372490.28</f>
      </c>
    </row>
    <row customHeight="1" ht="39" r="354">
      <c r="A354" s="17" t="inlineStr">
        <is>
          <t> 11.2.13 </t>
        </is>
      </c>
      <c r="B354" s="19" t="inlineStr">
        <is>
          <t> 91931 </t>
        </is>
      </c>
      <c r="C354" s="17" t="inlineStr">
        <is>
          <t>SINAPI</t>
        </is>
      </c>
      <c r="D354" s="17" t="inlineStr">
        <is>
          <t>CABO DE COBRE FLEXÍVEL ISOLADO, 6 MM², ANTI-CHAMA 0,6/1,0 KV, PARA CIRCUITOS TERMINAIS - FORNECIMENTO E INSTALAÇÃO. AF_03/2023</t>
        </is>
      </c>
      <c r="E354" s="18" t="inlineStr">
        <is>
          <t>M</t>
        </is>
      </c>
      <c r="F354" s="19" t="n">
        <v>130.0</v>
      </c>
      <c r="G354" s="20" t="n">
        <v>9.06</v>
      </c>
      <c r="H354" s="20" t="str">
        <f>TRUNC(G354 * (1 + 29.07 / 100), 2)</f>
      </c>
      <c r="I354" s="20" t="str">
        <f>TRUNC(F354 * h354, 2)</f>
      </c>
      <c r="J354" s="21" t="str">
        <f>i354 / 3372490.28</f>
      </c>
    </row>
    <row customHeight="1" ht="52" r="355">
      <c r="A355" s="17" t="inlineStr">
        <is>
          <t> 11.2.14 </t>
        </is>
      </c>
      <c r="B355" s="19" t="inlineStr">
        <is>
          <t> 92986 </t>
        </is>
      </c>
      <c r="C355" s="17" t="inlineStr">
        <is>
          <t>SINAPI</t>
        </is>
      </c>
      <c r="D355" s="17" t="inlineStr">
        <is>
          <t>CABO DE COBRE FLEXÍVEL ISOLADO, 35 MM², ANTI-CHAMA 0,6/1,0 KV, PARA REDE ENTERRADA DE DISTRIBUIÇÃO DE ENERGIA ELÉTRICA - FORNECIMENTO E INSTALAÇÃO. AF_12/2021</t>
        </is>
      </c>
      <c r="E355" s="18" t="inlineStr">
        <is>
          <t>M</t>
        </is>
      </c>
      <c r="F355" s="19" t="n">
        <v>20.0</v>
      </c>
      <c r="G355" s="20" t="n">
        <v>33.57</v>
      </c>
      <c r="H355" s="20" t="str">
        <f>TRUNC(G355 * (1 + 29.07 / 100), 2)</f>
      </c>
      <c r="I355" s="20" t="str">
        <f>TRUNC(F355 * h355, 2)</f>
      </c>
      <c r="J355" s="21" t="str">
        <f>i355 / 3372490.28</f>
      </c>
    </row>
    <row customHeight="1" ht="39" r="356">
      <c r="A356" s="17" t="inlineStr">
        <is>
          <t> 11.2.15 </t>
        </is>
      </c>
      <c r="B356" s="19" t="inlineStr">
        <is>
          <t> 92982 </t>
        </is>
      </c>
      <c r="C356" s="17" t="inlineStr">
        <is>
          <t>SINAPI</t>
        </is>
      </c>
      <c r="D356" s="17" t="inlineStr">
        <is>
          <t>CABO DE COBRE FLEXÍVEL ISOLADO, 16 MM², ANTI-CHAMA 0,6/1,0 KV, PARA DISTRIBUIÇÃO - FORNECIMENTO E INSTALAÇÃO. AF_10/2020</t>
        </is>
      </c>
      <c r="E356" s="18" t="inlineStr">
        <is>
          <t>M</t>
        </is>
      </c>
      <c r="F356" s="19" t="n">
        <v>5.0</v>
      </c>
      <c r="G356" s="20" t="n">
        <v>14.52</v>
      </c>
      <c r="H356" s="20" t="str">
        <f>TRUNC(G356 * (1 + 29.07 / 100), 2)</f>
      </c>
      <c r="I356" s="20" t="str">
        <f>TRUNC(F356 * h356, 2)</f>
      </c>
      <c r="J356" s="21" t="str">
        <f>i356 / 3372490.28</f>
      </c>
    </row>
    <row customHeight="1" ht="52" r="357">
      <c r="A357" s="17" t="inlineStr">
        <is>
          <t> 11.2.16 </t>
        </is>
      </c>
      <c r="B357" s="19" t="inlineStr">
        <is>
          <t> 92992 </t>
        </is>
      </c>
      <c r="C357" s="17" t="inlineStr">
        <is>
          <t>SINAPI</t>
        </is>
      </c>
      <c r="D357" s="17" t="inlineStr">
        <is>
          <t>CABO DE COBRE FLEXÍVEL ISOLADO, 95 MM², ANTI-CHAMA 0,6/1,0 KV, PARA REDE ENTERRADA DE DISTRIBUIÇÃO DE ENERGIA ELÉTRICA - FORNECIMENTO E INSTALAÇÃO. AF_12/2021</t>
        </is>
      </c>
      <c r="E357" s="18" t="inlineStr">
        <is>
          <t>M</t>
        </is>
      </c>
      <c r="F357" s="19" t="n">
        <v>200.0</v>
      </c>
      <c r="G357" s="20" t="n">
        <v>86.82</v>
      </c>
      <c r="H357" s="20" t="str">
        <f>TRUNC(G357 * (1 + 29.07 / 100), 2)</f>
      </c>
      <c r="I357" s="20" t="str">
        <f>TRUNC(F357 * h357, 2)</f>
      </c>
      <c r="J357" s="21" t="str">
        <f>i357 / 3372490.28</f>
      </c>
    </row>
    <row customHeight="1" ht="52" r="358">
      <c r="A358" s="17" t="inlineStr">
        <is>
          <t> 11.2.17 </t>
        </is>
      </c>
      <c r="B358" s="19" t="inlineStr">
        <is>
          <t> 92988 </t>
        </is>
      </c>
      <c r="C358" s="17" t="inlineStr">
        <is>
          <t>SINAPI</t>
        </is>
      </c>
      <c r="D358" s="17" t="inlineStr">
        <is>
          <t>CABO DE COBRE FLEXÍVEL ISOLADO, 50 MM², ANTI-CHAMA 0,6/1,0 KV, PARA REDE ENTERRADA DE DISTRIBUIÇÃO DE ENERGIA ELÉTRICA - FORNECIMENTO E INSTALAÇÃO. AF_12/2021</t>
        </is>
      </c>
      <c r="E358" s="18" t="inlineStr">
        <is>
          <t>M</t>
        </is>
      </c>
      <c r="F358" s="19" t="n">
        <v>50.0</v>
      </c>
      <c r="G358" s="20" t="n">
        <v>48.6</v>
      </c>
      <c r="H358" s="20" t="str">
        <f>TRUNC(G358 * (1 + 29.07 / 100), 2)</f>
      </c>
      <c r="I358" s="20" t="str">
        <f>TRUNC(F358 * h358, 2)</f>
      </c>
      <c r="J358" s="21" t="str">
        <f>i358 / 3372490.28</f>
      </c>
    </row>
    <row customHeight="1" ht="26" r="359">
      <c r="A359" s="17" t="inlineStr">
        <is>
          <t> 11.2.18 </t>
        </is>
      </c>
      <c r="B359" s="19" t="inlineStr">
        <is>
          <t> SEMAP 00.03.011 </t>
        </is>
      </c>
      <c r="C359" s="17" t="inlineStr">
        <is>
          <t>Próprio</t>
        </is>
      </c>
      <c r="D359" s="17" t="inlineStr">
        <is>
          <t>ELETRODUTO DE AÇO GALVANIZADO, 3/4", APARENTE - FORNECIMENTO E INSTALAÇÃO</t>
        </is>
      </c>
      <c r="E359" s="18" t="inlineStr">
        <is>
          <t>M</t>
        </is>
      </c>
      <c r="F359" s="19" t="n">
        <v>2.5</v>
      </c>
      <c r="G359" s="20" t="n">
        <v>19.1</v>
      </c>
      <c r="H359" s="20" t="str">
        <f>TRUNC(G359 * (1 + 29.07 / 100), 2)</f>
      </c>
      <c r="I359" s="20" t="str">
        <f>TRUNC(F359 * h359, 2)</f>
      </c>
      <c r="J359" s="21" t="str">
        <f>i359 / 3372490.28</f>
      </c>
    </row>
    <row customHeight="1" ht="26" r="360">
      <c r="A360" s="17" t="inlineStr">
        <is>
          <t> 11.2.19 </t>
        </is>
      </c>
      <c r="B360" s="19" t="inlineStr">
        <is>
          <t> SEMAP 00.03.014 </t>
        </is>
      </c>
      <c r="C360" s="17" t="inlineStr">
        <is>
          <t>Próprio</t>
        </is>
      </c>
      <c r="D360" s="17" t="inlineStr">
        <is>
          <t>ELETRODUTO DE AÇO GALVANIZADO, 1 1/2", APARENTE - FORNECIMENTO E INSTALAÇÃO</t>
        </is>
      </c>
      <c r="E360" s="18" t="inlineStr">
        <is>
          <t>M</t>
        </is>
      </c>
      <c r="F360" s="19" t="n">
        <v>4.0</v>
      </c>
      <c r="G360" s="20" t="n">
        <v>39.84</v>
      </c>
      <c r="H360" s="20" t="str">
        <f>TRUNC(G360 * (1 + 29.07 / 100), 2)</f>
      </c>
      <c r="I360" s="20" t="str">
        <f>TRUNC(F360 * h360, 2)</f>
      </c>
      <c r="J360" s="21" t="str">
        <f>i360 / 3372490.28</f>
      </c>
    </row>
    <row customHeight="1" ht="39" r="361">
      <c r="A361" s="17" t="inlineStr">
        <is>
          <t> 11.2.20 </t>
        </is>
      </c>
      <c r="B361" s="19" t="inlineStr">
        <is>
          <t> 97884 </t>
        </is>
      </c>
      <c r="C361" s="17" t="inlineStr">
        <is>
          <t>SINAPI</t>
        </is>
      </c>
      <c r="D361" s="17" t="inlineStr">
        <is>
          <t>CAIXA ENTERRADA ELÉTRICA RETANGULAR, EM CONCRETO PRÉ-MOLDADO, FUNDO COM BRITA, DIMENSÕES INTERNAS: 0,8X0,8X0,5 M. AF_12/2020</t>
        </is>
      </c>
      <c r="E361" s="18" t="inlineStr">
        <is>
          <t>UN</t>
        </is>
      </c>
      <c r="F361" s="19" t="n">
        <v>2.0</v>
      </c>
      <c r="G361" s="20" t="n">
        <v>828.14</v>
      </c>
      <c r="H361" s="20" t="str">
        <f>TRUNC(G361 * (1 + 29.07 / 100), 2)</f>
      </c>
      <c r="I361" s="20" t="str">
        <f>TRUNC(F361 * h361, 2)</f>
      </c>
      <c r="J361" s="21" t="str">
        <f>i361 / 3372490.28</f>
      </c>
    </row>
    <row customHeight="1" ht="26" r="362">
      <c r="A362" s="17" t="inlineStr">
        <is>
          <t> 11.2.21 </t>
        </is>
      </c>
      <c r="B362" s="19" t="inlineStr">
        <is>
          <t> SEMAP 00.03.017 </t>
        </is>
      </c>
      <c r="C362" s="17" t="inlineStr">
        <is>
          <t>Próprio</t>
        </is>
      </c>
      <c r="D362" s="17" t="inlineStr">
        <is>
          <t>CURVA PARA ELETRODUTO DE AÇO GALVANIZADO, 1.1/2", APARENTE - FORNECIMENTO E INSTALAÇÃO</t>
        </is>
      </c>
      <c r="E362" s="18" t="inlineStr">
        <is>
          <t>UND</t>
        </is>
      </c>
      <c r="F362" s="19" t="n">
        <v>1.0</v>
      </c>
      <c r="G362" s="20" t="n">
        <v>25.87</v>
      </c>
      <c r="H362" s="20" t="str">
        <f>TRUNC(G362 * (1 + 29.07 / 100), 2)</f>
      </c>
      <c r="I362" s="20" t="str">
        <f>TRUNC(F362 * h362, 2)</f>
      </c>
      <c r="J362" s="21" t="str">
        <f>i362 / 3372490.28</f>
      </c>
    </row>
    <row customHeight="1" ht="39" r="363">
      <c r="A363" s="17" t="inlineStr">
        <is>
          <t> 11.2.22 </t>
        </is>
      </c>
      <c r="B363" s="19" t="inlineStr">
        <is>
          <t> 97670 </t>
        </is>
      </c>
      <c r="C363" s="17" t="inlineStr">
        <is>
          <t>SINAPI</t>
        </is>
      </c>
      <c r="D363" s="17" t="inlineStr">
        <is>
          <t>ELETRODUTO FLEXÍVEL CORRUGADO, PEAD, DN 100 (4"), PARA REDE ENTERRADA DE DISTRIBUIÇÃO DE ENERGIA ELÉTRICA - FORNECIMENTO E INSTALAÇÃO. AF_12/2021</t>
        </is>
      </c>
      <c r="E363" s="18" t="inlineStr">
        <is>
          <t>M</t>
        </is>
      </c>
      <c r="F363" s="19" t="n">
        <v>80.0</v>
      </c>
      <c r="G363" s="20" t="n">
        <v>24.22</v>
      </c>
      <c r="H363" s="20" t="str">
        <f>TRUNC(G363 * (1 + 29.07 / 100), 2)</f>
      </c>
      <c r="I363" s="20" t="str">
        <f>TRUNC(F363 * h363, 2)</f>
      </c>
      <c r="J363" s="21" t="str">
        <f>i363 / 3372490.28</f>
      </c>
    </row>
    <row customHeight="1" ht="65" r="364">
      <c r="A364" s="17" t="inlineStr">
        <is>
          <t> 11.2.23 </t>
        </is>
      </c>
      <c r="B364" s="19" t="inlineStr">
        <is>
          <t> 102302 </t>
        </is>
      </c>
      <c r="C364" s="17" t="inlineStr">
        <is>
          <t>SINAPI</t>
        </is>
      </c>
      <c r="D364" s="17" t="inlineStr">
        <is>
          <t>ESCAVAÇÃO MECANIZADA DE VALA COM PROF. ATÉ 1,5 M (MÉDIA MONTANTE E JUSANTE/UMA COMPOSIÇÃO POR TRECHO), RETROESCAV. (0,26 M3), LARG. MENOR  QUE 0,8 M, EM SOLO MOLE, LOCAIS COM BAIXO NÍVEL DE NTERFERÊNCIA.  AF_02/2021</t>
        </is>
      </c>
      <c r="E364" s="18" t="inlineStr">
        <is>
          <t>m³</t>
        </is>
      </c>
      <c r="F364" s="19" t="n">
        <v>16.0</v>
      </c>
      <c r="G364" s="20" t="n">
        <v>10.45</v>
      </c>
      <c r="H364" s="20" t="str">
        <f>TRUNC(G364 * (1 + 29.07 / 100), 2)</f>
      </c>
      <c r="I364" s="20" t="str">
        <f>TRUNC(F364 * h364, 2)</f>
      </c>
      <c r="J364" s="21" t="str">
        <f>i364 / 3372490.28</f>
      </c>
    </row>
    <row customHeight="1" ht="65" r="365">
      <c r="A365" s="17" t="inlineStr">
        <is>
          <t> 11.2.24 </t>
        </is>
      </c>
      <c r="B365" s="19" t="inlineStr">
        <is>
          <t> 93379 </t>
        </is>
      </c>
      <c r="C365" s="17" t="inlineStr">
        <is>
          <t>SINAPI</t>
        </is>
      </c>
      <c r="D365" s="17" t="inlineStr">
        <is>
          <t>REATERRO MECANIZADO DE VALA COM RETROESCAVADEIRA (CAPACIDADE DA CAÇAMBA   DA RETRO: 0,26 M³/POTÊNCIA: 88 HP), LARGURA 0,8 A 1,5 M, PROFUNDIDADE ATÉ 1,5 M, COM SOLO (SEM SUBSTITUIÇÃO) DE 1ª CATEGORIA, COM COMPACTADOR DE SOLOS DE PERCUSSÃO AF_08/2023</t>
        </is>
      </c>
      <c r="E365" s="18" t="inlineStr">
        <is>
          <t>m³</t>
        </is>
      </c>
      <c r="F365" s="19" t="n">
        <v>16.0</v>
      </c>
      <c r="G365" s="20" t="n">
        <v>19.8</v>
      </c>
      <c r="H365" s="20" t="str">
        <f>TRUNC(G365 * (1 + 29.07 / 100), 2)</f>
      </c>
      <c r="I365" s="20" t="str">
        <f>TRUNC(F365 * h365, 2)</f>
      </c>
      <c r="J365" s="21" t="str">
        <f>i365 / 3372490.28</f>
      </c>
    </row>
    <row customHeight="1" ht="39" r="366">
      <c r="A366" s="17" t="inlineStr">
        <is>
          <t> 11.2.25 </t>
        </is>
      </c>
      <c r="B366" s="19" t="inlineStr">
        <is>
          <t> SEMAP 00.02.034 </t>
        </is>
      </c>
      <c r="C366" s="17" t="inlineStr">
        <is>
          <t>Próprio</t>
        </is>
      </c>
      <c r="D366" s="17" t="inlineStr">
        <is>
          <t>ELETRODUTO FLEXÍVEL CORRUGADO, PEAD, DN 40 (1 1/4"), PARA REDE ENTERRADA DE DISTRIBUIÇÃO DE ENERGIA ELÉTRICA - FORNECIMENTO E INSTALAÇÃO</t>
        </is>
      </c>
      <c r="E366" s="18" t="inlineStr">
        <is>
          <t>M</t>
        </is>
      </c>
      <c r="F366" s="19" t="n">
        <v>85.0</v>
      </c>
      <c r="G366" s="20" t="n">
        <v>9.63</v>
      </c>
      <c r="H366" s="20" t="str">
        <f>TRUNC(G366 * (1 + 29.07 / 100), 2)</f>
      </c>
      <c r="I366" s="20" t="str">
        <f>TRUNC(F366 * h366, 2)</f>
      </c>
      <c r="J366" s="21" t="str">
        <f>i366 / 3372490.28</f>
      </c>
    </row>
    <row customHeight="1" ht="39" r="367">
      <c r="A367" s="17" t="inlineStr">
        <is>
          <t> 11.2.26 </t>
        </is>
      </c>
      <c r="B367" s="19" t="inlineStr">
        <is>
          <t> 97882 </t>
        </is>
      </c>
      <c r="C367" s="17" t="inlineStr">
        <is>
          <t>SINAPI</t>
        </is>
      </c>
      <c r="D367" s="17" t="inlineStr">
        <is>
          <t>CAIXA ENTERRADA ELÉTRICA RETANGULAR, EM CONCRETO PRÉ-MOLDADO, FUNDO COM BRITA, DIMENSÕES INTERNAS: 0,4X0,4X0,4 M. AF_12/2020</t>
        </is>
      </c>
      <c r="E367" s="18" t="inlineStr">
        <is>
          <t>UN</t>
        </is>
      </c>
      <c r="F367" s="19" t="n">
        <v>1.0</v>
      </c>
      <c r="G367" s="20" t="n">
        <v>217.82</v>
      </c>
      <c r="H367" s="20" t="str">
        <f>TRUNC(G367 * (1 + 29.07 / 100), 2)</f>
      </c>
      <c r="I367" s="20" t="str">
        <f>TRUNC(F367 * h367, 2)</f>
      </c>
      <c r="J367" s="21" t="str">
        <f>i367 / 3372490.28</f>
      </c>
    </row>
    <row customHeight="1" ht="39" r="368">
      <c r="A368" s="17" t="inlineStr">
        <is>
          <t> 11.2.27 </t>
        </is>
      </c>
      <c r="B368" s="19" t="inlineStr">
        <is>
          <t> 91926 </t>
        </is>
      </c>
      <c r="C368" s="17" t="inlineStr">
        <is>
          <t>SINAPI</t>
        </is>
      </c>
      <c r="D368" s="17" t="inlineStr">
        <is>
          <t>CABO DE COBRE FLEXÍVEL ISOLADO, 2,5 MM², ANTI-CHAMA 450/750 V, PARA CIRCUITOS TERMINAIS - FORNECIMENTO E INSTALAÇÃO. AF_03/2023</t>
        </is>
      </c>
      <c r="E368" s="18" t="inlineStr">
        <is>
          <t>M</t>
        </is>
      </c>
      <c r="F368" s="19" t="n">
        <v>15.0</v>
      </c>
      <c r="G368" s="20" t="n">
        <v>3.94</v>
      </c>
      <c r="H368" s="20" t="str">
        <f>TRUNC(G368 * (1 + 29.07 / 100), 2)</f>
      </c>
      <c r="I368" s="20" t="str">
        <f>TRUNC(F368 * h368, 2)</f>
      </c>
      <c r="J368" s="21" t="str">
        <f>i368 / 3372490.28</f>
      </c>
    </row>
    <row customHeight="1" ht="26" r="369">
      <c r="A369" s="17" t="inlineStr">
        <is>
          <t> 11.2.28 </t>
        </is>
      </c>
      <c r="B369" s="19" t="inlineStr">
        <is>
          <t> 102137 </t>
        </is>
      </c>
      <c r="C369" s="17" t="inlineStr">
        <is>
          <t>SINAPI</t>
        </is>
      </c>
      <c r="D369" s="17" t="inlineStr">
        <is>
          <t>CHAVE DE BOIA AUTOMÁTICA SUPERIOR/INFERIOR 15A/250V - FORNECIMENTO E INSTALAÇÃO. AF_12/2020</t>
        </is>
      </c>
      <c r="E369" s="18" t="inlineStr">
        <is>
          <t>UN</t>
        </is>
      </c>
      <c r="F369" s="19" t="n">
        <v>1.0</v>
      </c>
      <c r="G369" s="20" t="n">
        <v>84.91</v>
      </c>
      <c r="H369" s="20" t="str">
        <f>TRUNC(G369 * (1 + 29.07 / 100), 2)</f>
      </c>
      <c r="I369" s="20" t="str">
        <f>TRUNC(F369 * h369, 2)</f>
      </c>
      <c r="J369" s="21" t="str">
        <f>i369 / 3372490.28</f>
      </c>
    </row>
    <row customHeight="1" ht="24" r="370">
      <c r="A370" s="17" t="inlineStr">
        <is>
          <t> 11.2.29 </t>
        </is>
      </c>
      <c r="B370" s="19" t="inlineStr">
        <is>
          <t> ITA0074 </t>
        </is>
      </c>
      <c r="C370" s="17" t="inlineStr">
        <is>
          <t>Próprio</t>
        </is>
      </c>
      <c r="D370" s="17" t="inlineStr">
        <is>
          <t>QUADRO DE COMANDO PARA BOMBA DE 0,5CV MONOFÁSICA</t>
        </is>
      </c>
      <c r="E370" s="18" t="inlineStr">
        <is>
          <t>un</t>
        </is>
      </c>
      <c r="F370" s="19" t="n">
        <v>1.0</v>
      </c>
      <c r="G370" s="20" t="n">
        <v>489.46</v>
      </c>
      <c r="H370" s="20" t="str">
        <f>TRUNC(G370 * (1 + 29.07 / 100), 2)</f>
      </c>
      <c r="I370" s="20" t="str">
        <f>TRUNC(F370 * h370, 2)</f>
      </c>
      <c r="J370" s="21" t="str">
        <f>i370 / 3372490.28</f>
      </c>
    </row>
    <row customHeight="1" ht="24" r="371">
      <c r="A371" s="9" t="inlineStr">
        <is>
          <t> 11.3 </t>
        </is>
      </c>
      <c r="B371" s="9"/>
      <c r="C371" s="9"/>
      <c r="D371" s="9" t="inlineStr">
        <is>
          <t>ELETRICA - AR CONDICIONADO</t>
        </is>
      </c>
      <c r="E371" s="9"/>
      <c r="F371" s="11"/>
      <c r="G371" s="9"/>
      <c r="H371" s="9"/>
      <c r="I371" s="12" t="n">
        <v>25805.17</v>
      </c>
      <c r="J371" s="13" t="str">
        <f>i371 / 3372490.28</f>
      </c>
    </row>
    <row customHeight="1" ht="39" r="372">
      <c r="A372" s="17" t="inlineStr">
        <is>
          <t> 11.3.2 </t>
        </is>
      </c>
      <c r="B372" s="19" t="inlineStr">
        <is>
          <t> 91928 </t>
        </is>
      </c>
      <c r="C372" s="17" t="inlineStr">
        <is>
          <t>SINAPI</t>
        </is>
      </c>
      <c r="D372" s="17" t="inlineStr">
        <is>
          <t>CABO DE COBRE FLEXÍVEL ISOLADO, 4 MM², ANTI-CHAMA 450/750 V, PARA CIRCUITOS TERMINAIS - FORNECIMENTO E INSTALAÇÃO. AF_03/2023</t>
        </is>
      </c>
      <c r="E372" s="18" t="inlineStr">
        <is>
          <t>M</t>
        </is>
      </c>
      <c r="F372" s="19" t="n">
        <v>1100.0</v>
      </c>
      <c r="G372" s="20" t="n">
        <v>6.04</v>
      </c>
      <c r="H372" s="20" t="str">
        <f>TRUNC(G372 * (1 + 29.07 / 100), 2)</f>
      </c>
      <c r="I372" s="20" t="str">
        <f>TRUNC(F372 * h372, 2)</f>
      </c>
      <c r="J372" s="21" t="str">
        <f>i372 / 3372490.28</f>
      </c>
    </row>
    <row customHeight="1" ht="39" r="373">
      <c r="A373" s="17" t="inlineStr">
        <is>
          <t> 11.3.3 </t>
        </is>
      </c>
      <c r="B373" s="19" t="inlineStr">
        <is>
          <t> 91930 </t>
        </is>
      </c>
      <c r="C373" s="17" t="inlineStr">
        <is>
          <t>SINAPI</t>
        </is>
      </c>
      <c r="D373" s="17" t="inlineStr">
        <is>
          <t>CABO DE COBRE FLEXÍVEL ISOLADO, 6 MM², ANTI-CHAMA 450/750 V, PARA CIRCUITOS TERMINAIS - FORNECIMENTO E INSTALAÇÃO. AF_03/2023</t>
        </is>
      </c>
      <c r="E373" s="18" t="inlineStr">
        <is>
          <t>M</t>
        </is>
      </c>
      <c r="F373" s="19" t="n">
        <v>650.0</v>
      </c>
      <c r="G373" s="20" t="n">
        <v>8.41</v>
      </c>
      <c r="H373" s="20" t="str">
        <f>TRUNC(G373 * (1 + 29.07 / 100), 2)</f>
      </c>
      <c r="I373" s="20" t="str">
        <f>TRUNC(F373 * h373, 2)</f>
      </c>
      <c r="J373" s="21" t="str">
        <f>i373 / 3372490.28</f>
      </c>
    </row>
    <row customHeight="1" ht="39" r="374">
      <c r="A374" s="17" t="inlineStr">
        <is>
          <t> 11.3.4 </t>
        </is>
      </c>
      <c r="B374" s="19" t="inlineStr">
        <is>
          <t> 91941 </t>
        </is>
      </c>
      <c r="C374" s="17" t="inlineStr">
        <is>
          <t>SINAPI</t>
        </is>
      </c>
      <c r="D374" s="17" t="inlineStr">
        <is>
          <t>CAIXA RETANGULAR 4" X 2" BAIXA (0,30 M DO PISO), PVC, INSTALADA EM PAREDE - FORNECIMENTO E INSTALAÇÃO. AF_03/2023</t>
        </is>
      </c>
      <c r="E374" s="18" t="inlineStr">
        <is>
          <t>UN</t>
        </is>
      </c>
      <c r="F374" s="19" t="n">
        <v>19.0</v>
      </c>
      <c r="G374" s="20" t="n">
        <v>11.24</v>
      </c>
      <c r="H374" s="20" t="str">
        <f>TRUNC(G374 * (1 + 29.07 / 100), 2)</f>
      </c>
      <c r="I374" s="20" t="str">
        <f>TRUNC(F374 * h374, 2)</f>
      </c>
      <c r="J374" s="21" t="str">
        <f>i374 / 3372490.28</f>
      </c>
    </row>
    <row customHeight="1" ht="39" r="375">
      <c r="A375" s="17" t="inlineStr">
        <is>
          <t> 11.3.5 </t>
        </is>
      </c>
      <c r="B375" s="19" t="inlineStr">
        <is>
          <t> 91992 </t>
        </is>
      </c>
      <c r="C375" s="17" t="inlineStr">
        <is>
          <t>SINAPI</t>
        </is>
      </c>
      <c r="D375" s="17" t="inlineStr">
        <is>
          <t>TOMADA ALTA DE EMBUTIR (1 MÓDULO), 2P+T 10 A, INCLUINDO SUPORTE E PLACA - FORNECIMENTO E INSTALAÇÃO. AF_03/2023</t>
        </is>
      </c>
      <c r="E375" s="18" t="inlineStr">
        <is>
          <t>UN</t>
        </is>
      </c>
      <c r="F375" s="19" t="n">
        <v>2.0</v>
      </c>
      <c r="G375" s="20" t="n">
        <v>42.24</v>
      </c>
      <c r="H375" s="20" t="str">
        <f>TRUNC(G375 * (1 + 29.07 / 100), 2)</f>
      </c>
      <c r="I375" s="20" t="str">
        <f>TRUNC(F375 * h375, 2)</f>
      </c>
      <c r="J375" s="21" t="str">
        <f>i375 / 3372490.28</f>
      </c>
    </row>
    <row customHeight="1" ht="24" r="376">
      <c r="A376" s="17" t="inlineStr">
        <is>
          <t> 11.3.6 </t>
        </is>
      </c>
      <c r="B376" s="19" t="inlineStr">
        <is>
          <t> ITA0045 </t>
        </is>
      </c>
      <c r="C376" s="17" t="inlineStr">
        <is>
          <t>Próprio</t>
        </is>
      </c>
      <c r="D376" s="17" t="inlineStr">
        <is>
          <t>PLACA CEGA COM FURO 4X2"</t>
        </is>
      </c>
      <c r="E376" s="18" t="inlineStr">
        <is>
          <t>UN</t>
        </is>
      </c>
      <c r="F376" s="19" t="n">
        <v>17.0</v>
      </c>
      <c r="G376" s="20" t="n">
        <v>8.41</v>
      </c>
      <c r="H376" s="20" t="str">
        <f>TRUNC(G376 * (1 + 29.07 / 100), 2)</f>
      </c>
      <c r="I376" s="20" t="str">
        <f>TRUNC(F376 * h376, 2)</f>
      </c>
      <c r="J376" s="21" t="str">
        <f>i376 / 3372490.28</f>
      </c>
    </row>
    <row customHeight="1" ht="39" r="377">
      <c r="A377" s="17" t="inlineStr">
        <is>
          <t> 11.3.6 </t>
        </is>
      </c>
      <c r="B377" s="19" t="inlineStr">
        <is>
          <t> 91953 </t>
        </is>
      </c>
      <c r="C377" s="17" t="inlineStr">
        <is>
          <t>SINAPI</t>
        </is>
      </c>
      <c r="D377" s="17" t="inlineStr">
        <is>
          <t>INTERRUPTOR SIMPLES (1 MÓDULO), 10A/250V, INCLUINDO SUPORTE E PLACA - FORNECIMENTO E INSTALAÇÃO. AF_03/2023</t>
        </is>
      </c>
      <c r="E377" s="18" t="inlineStr">
        <is>
          <t>UN</t>
        </is>
      </c>
      <c r="F377" s="19" t="n">
        <v>2.0</v>
      </c>
      <c r="G377" s="20" t="n">
        <v>27.12</v>
      </c>
      <c r="H377" s="20" t="str">
        <f>TRUNC(G377 * (1 + 29.07 / 100), 2)</f>
      </c>
      <c r="I377" s="20" t="str">
        <f>TRUNC(F377 * h377, 2)</f>
      </c>
      <c r="J377" s="21" t="str">
        <f>i377 / 3372490.28</f>
      </c>
    </row>
    <row customHeight="1" ht="24" r="378">
      <c r="A378" s="17" t="inlineStr">
        <is>
          <t> 11.3.7 </t>
        </is>
      </c>
      <c r="B378" s="19" t="inlineStr">
        <is>
          <t> SEMAP 00.02.025 </t>
        </is>
      </c>
      <c r="C378" s="17" t="inlineStr">
        <is>
          <t>Próprio</t>
        </is>
      </c>
      <c r="D378" s="17" t="inlineStr">
        <is>
          <t>CAIXA DE PASSAGEM METÁLICA APARENTE 15x15x10cm</t>
        </is>
      </c>
      <c r="E378" s="18" t="inlineStr">
        <is>
          <t>un</t>
        </is>
      </c>
      <c r="F378" s="19" t="n">
        <v>17.0</v>
      </c>
      <c r="G378" s="20" t="n">
        <v>51.52</v>
      </c>
      <c r="H378" s="20" t="str">
        <f>TRUNC(G378 * (1 + 29.07 / 100), 2)</f>
      </c>
      <c r="I378" s="20" t="str">
        <f>TRUNC(F378 * h378, 2)</f>
      </c>
      <c r="J378" s="21" t="str">
        <f>i378 / 3372490.28</f>
      </c>
    </row>
    <row customHeight="1" ht="26" r="379">
      <c r="A379" s="17" t="inlineStr">
        <is>
          <t> 11.3.8 </t>
        </is>
      </c>
      <c r="B379" s="19" t="inlineStr">
        <is>
          <t> SEMAP 00.03.011 </t>
        </is>
      </c>
      <c r="C379" s="17" t="inlineStr">
        <is>
          <t>Próprio</t>
        </is>
      </c>
      <c r="D379" s="17" t="inlineStr">
        <is>
          <t>ELETRODUTO DE AÇO GALVANIZADO, 3/4", APARENTE - FORNECIMENTO E INSTALAÇÃO</t>
        </is>
      </c>
      <c r="E379" s="18" t="inlineStr">
        <is>
          <t>M</t>
        </is>
      </c>
      <c r="F379" s="19" t="n">
        <v>130.0</v>
      </c>
      <c r="G379" s="20" t="n">
        <v>19.1</v>
      </c>
      <c r="H379" s="20" t="str">
        <f>TRUNC(G379 * (1 + 29.07 / 100), 2)</f>
      </c>
      <c r="I379" s="20" t="str">
        <f>TRUNC(F379 * h379, 2)</f>
      </c>
      <c r="J379" s="21" t="str">
        <f>i379 / 3372490.28</f>
      </c>
    </row>
    <row customHeight="1" ht="39" r="380">
      <c r="A380" s="17" t="inlineStr">
        <is>
          <t> 11.3.9 </t>
        </is>
      </c>
      <c r="B380" s="19" t="inlineStr">
        <is>
          <t> 91871 </t>
        </is>
      </c>
      <c r="C380" s="17" t="inlineStr">
        <is>
          <t>SINAPI</t>
        </is>
      </c>
      <c r="D380" s="17" t="inlineStr">
        <is>
          <t>ELETRODUTO RÍGIDO ROSCÁVEL, PVC, DN 25 MM (3/4"), PARA CIRCUITOS TERMINAIS, INSTALADO EM PAREDE - FORNECIMENTO E INSTALAÇÃO. AF_03/2023</t>
        </is>
      </c>
      <c r="E380" s="18" t="inlineStr">
        <is>
          <t>M</t>
        </is>
      </c>
      <c r="F380" s="19" t="n">
        <v>42.0</v>
      </c>
      <c r="G380" s="20" t="n">
        <v>13.71</v>
      </c>
      <c r="H380" s="20" t="str">
        <f>TRUNC(G380 * (1 + 29.07 / 100), 2)</f>
      </c>
      <c r="I380" s="20" t="str">
        <f>TRUNC(F380 * h380, 2)</f>
      </c>
      <c r="J380" s="21" t="str">
        <f>i380 / 3372490.28</f>
      </c>
    </row>
    <row customHeight="1" ht="26" r="381">
      <c r="A381" s="17" t="inlineStr">
        <is>
          <t> 11.3.10 </t>
        </is>
      </c>
      <c r="B381" s="19" t="inlineStr">
        <is>
          <t> SEMAP 00.03.015 </t>
        </is>
      </c>
      <c r="C381" s="17" t="inlineStr">
        <is>
          <t>Próprio</t>
        </is>
      </c>
      <c r="D381" s="17" t="inlineStr">
        <is>
          <t>CURVA PARA ELETRODUTO DE AÇO GALVANIZADO, 3/4", APARENTE - FORNECIMENTO E INSTALAÇÃO</t>
        </is>
      </c>
      <c r="E381" s="18" t="inlineStr">
        <is>
          <t>UND</t>
        </is>
      </c>
      <c r="F381" s="19" t="n">
        <v>17.0</v>
      </c>
      <c r="G381" s="20" t="n">
        <v>14.8</v>
      </c>
      <c r="H381" s="20" t="str">
        <f>TRUNC(G381 * (1 + 29.07 / 100), 2)</f>
      </c>
      <c r="I381" s="20" t="str">
        <f>TRUNC(F381 * h381, 2)</f>
      </c>
      <c r="J381" s="21" t="str">
        <f>i381 / 3372490.28</f>
      </c>
    </row>
    <row customHeight="1" ht="26" r="382">
      <c r="A382" s="17" t="inlineStr">
        <is>
          <t> 11.3.11 </t>
        </is>
      </c>
      <c r="B382" s="19" t="inlineStr">
        <is>
          <t> SEMAP 00.03.012 </t>
        </is>
      </c>
      <c r="C382" s="17" t="inlineStr">
        <is>
          <t>Próprio</t>
        </is>
      </c>
      <c r="D382" s="17" t="inlineStr">
        <is>
          <t>ELETRODUTO DE AÇO GALVANIZADO, 1", APARENTE - FORNECIMENTO E INSTALAÇÃO</t>
        </is>
      </c>
      <c r="E382" s="18" t="inlineStr">
        <is>
          <t>M</t>
        </is>
      </c>
      <c r="F382" s="19" t="n">
        <v>57.0</v>
      </c>
      <c r="G382" s="20" t="n">
        <v>23.37</v>
      </c>
      <c r="H382" s="20" t="str">
        <f>TRUNC(G382 * (1 + 29.07 / 100), 2)</f>
      </c>
      <c r="I382" s="20" t="str">
        <f>TRUNC(F382 * h382, 2)</f>
      </c>
      <c r="J382" s="21" t="str">
        <f>i382 / 3372490.28</f>
      </c>
    </row>
    <row customHeight="1" ht="26" r="383">
      <c r="A383" s="17" t="inlineStr">
        <is>
          <t> 11.3.12 </t>
        </is>
      </c>
      <c r="B383" s="19" t="inlineStr">
        <is>
          <t> SEMAP 00.03.013 </t>
        </is>
      </c>
      <c r="C383" s="17" t="inlineStr">
        <is>
          <t>Próprio</t>
        </is>
      </c>
      <c r="D383" s="17" t="inlineStr">
        <is>
          <t>ELETRODUTO DE AÇO GALVANIZADO, 1 1/4", APARENTE - FORNECIMENTO E INSTALAÇÃO</t>
        </is>
      </c>
      <c r="E383" s="18" t="inlineStr">
        <is>
          <t>M</t>
        </is>
      </c>
      <c r="F383" s="19" t="n">
        <v>45.0</v>
      </c>
      <c r="G383" s="20" t="n">
        <v>36.41</v>
      </c>
      <c r="H383" s="20" t="str">
        <f>TRUNC(G383 * (1 + 29.07 / 100), 2)</f>
      </c>
      <c r="I383" s="20" t="str">
        <f>TRUNC(F383 * h383, 2)</f>
      </c>
      <c r="J383" s="21" t="str">
        <f>i383 / 3372490.28</f>
      </c>
    </row>
    <row customHeight="1" ht="26" r="384">
      <c r="A384" s="17" t="inlineStr">
        <is>
          <t> 11.3.13 </t>
        </is>
      </c>
      <c r="B384" s="19" t="inlineStr">
        <is>
          <t> SEMAP 00.03.014 </t>
        </is>
      </c>
      <c r="C384" s="17" t="inlineStr">
        <is>
          <t>Próprio</t>
        </is>
      </c>
      <c r="D384" s="17" t="inlineStr">
        <is>
          <t>ELETRODUTO DE AÇO GALVANIZADO, 1 1/2", APARENTE - FORNECIMENTO E INSTALAÇÃO</t>
        </is>
      </c>
      <c r="E384" s="18" t="inlineStr">
        <is>
          <t>M</t>
        </is>
      </c>
      <c r="F384" s="19" t="n">
        <v>6.0</v>
      </c>
      <c r="G384" s="20" t="n">
        <v>39.84</v>
      </c>
      <c r="H384" s="20" t="str">
        <f>TRUNC(G384 * (1 + 29.07 / 100), 2)</f>
      </c>
      <c r="I384" s="20" t="str">
        <f>TRUNC(F384 * h384, 2)</f>
      </c>
      <c r="J384" s="21" t="str">
        <f>i384 / 3372490.28</f>
      </c>
    </row>
    <row customHeight="1" ht="24" r="385">
      <c r="A385" s="9" t="inlineStr">
        <is>
          <t> 11.4 </t>
        </is>
      </c>
      <c r="B385" s="9"/>
      <c r="C385" s="9"/>
      <c r="D385" s="9" t="inlineStr">
        <is>
          <t>ELÉTRICA - ILUMINAÇÃO EXTERNA</t>
        </is>
      </c>
      <c r="E385" s="9"/>
      <c r="F385" s="11"/>
      <c r="G385" s="9"/>
      <c r="H385" s="9"/>
      <c r="I385" s="12" t="n">
        <v>99307.5</v>
      </c>
      <c r="J385" s="13" t="str">
        <f>i385 / 3372490.28</f>
      </c>
    </row>
    <row customHeight="1" ht="26" r="386">
      <c r="A386" s="17" t="inlineStr">
        <is>
          <t> 11.4.1 </t>
        </is>
      </c>
      <c r="B386" s="19" t="inlineStr">
        <is>
          <t> SEMAP 00.00.010 </t>
        </is>
      </c>
      <c r="C386" s="17" t="inlineStr">
        <is>
          <t>Próprio</t>
        </is>
      </c>
      <c r="D386" s="17" t="inlineStr">
        <is>
          <t>REFLETOR SLIM  LED 50W DE POTÊNCIA, BRANCO FRIO, 6500K, AUTOVOLT, MARCA G-LIGHT OU SIMILAR</t>
        </is>
      </c>
      <c r="E386" s="18" t="inlineStr">
        <is>
          <t>un</t>
        </is>
      </c>
      <c r="F386" s="19" t="n">
        <v>7.0</v>
      </c>
      <c r="G386" s="20" t="n">
        <v>53.28</v>
      </c>
      <c r="H386" s="20" t="str">
        <f>TRUNC(G386 * (1 + 29.07 / 100), 2)</f>
      </c>
      <c r="I386" s="20" t="str">
        <f>TRUNC(F386 * h386, 2)</f>
      </c>
      <c r="J386" s="21" t="str">
        <f>i386 / 3372490.28</f>
      </c>
    </row>
    <row customHeight="1" ht="39" r="387">
      <c r="A387" s="17" t="inlineStr">
        <is>
          <t> 11.4.2 </t>
        </is>
      </c>
      <c r="B387" s="19" t="inlineStr">
        <is>
          <t> 101659 </t>
        </is>
      </c>
      <c r="C387" s="17" t="inlineStr">
        <is>
          <t>SINAPI</t>
        </is>
      </c>
      <c r="D387" s="17" t="inlineStr">
        <is>
          <t>LUMINÁRIA DE LED PARA ILUMINAÇÃO PÚBLICA, DE 138 W ATÉ 180 W - FORNECIMENTO E INSTALAÇÃO. AF_08/2020</t>
        </is>
      </c>
      <c r="E387" s="18" t="inlineStr">
        <is>
          <t>UN</t>
        </is>
      </c>
      <c r="F387" s="19" t="n">
        <v>36.0</v>
      </c>
      <c r="G387" s="20" t="n">
        <v>582.45</v>
      </c>
      <c r="H387" s="20" t="str">
        <f>TRUNC(G387 * (1 + 29.07 / 100), 2)</f>
      </c>
      <c r="I387" s="20" t="str">
        <f>TRUNC(F387 * h387, 2)</f>
      </c>
      <c r="J387" s="21" t="str">
        <f>i387 / 3372490.28</f>
      </c>
    </row>
    <row customHeight="1" ht="39" r="388">
      <c r="A388" s="17" t="inlineStr">
        <is>
          <t> 11.4.3 </t>
        </is>
      </c>
      <c r="B388" s="19" t="inlineStr">
        <is>
          <t> ITA0039 </t>
        </is>
      </c>
      <c r="C388" s="17" t="inlineStr">
        <is>
          <t>Próprio</t>
        </is>
      </c>
      <c r="D388" s="17" t="inlineStr">
        <is>
          <t>POSTE DE AÇO CONICO CONTÍNUO CURVO DUPLO, FLANGEADO, H=9M, EXCLUSIVE LUMINÁRIAS, - FORNECIMENTO E INSTALACAO.</t>
        </is>
      </c>
      <c r="E388" s="18" t="inlineStr">
        <is>
          <t>UN</t>
        </is>
      </c>
      <c r="F388" s="19" t="n">
        <v>7.0</v>
      </c>
      <c r="G388" s="20" t="n">
        <v>2704.23</v>
      </c>
      <c r="H388" s="20" t="str">
        <f>TRUNC(G388 * (1 + 29.07 / 100), 2)</f>
      </c>
      <c r="I388" s="20" t="str">
        <f>TRUNC(F388 * h388, 2)</f>
      </c>
      <c r="J388" s="21" t="str">
        <f>i388 / 3372490.28</f>
      </c>
    </row>
    <row customHeight="1" ht="26" r="389">
      <c r="A389" s="17" t="inlineStr">
        <is>
          <t> 11.4.4 </t>
        </is>
      </c>
      <c r="B389" s="19" t="inlineStr">
        <is>
          <t> 101632 </t>
        </is>
      </c>
      <c r="C389" s="17" t="inlineStr">
        <is>
          <t>SINAPI</t>
        </is>
      </c>
      <c r="D389" s="17" t="inlineStr">
        <is>
          <t>RELÉ FOTOELÉTRICO PARA COMANDO DE ILUMINAÇÃO EXTERNA 1000 W - FORNECIMENTO E INSTALAÇÃO. AF_08/2020</t>
        </is>
      </c>
      <c r="E389" s="18" t="inlineStr">
        <is>
          <t>UN</t>
        </is>
      </c>
      <c r="F389" s="19" t="n">
        <v>25.0</v>
      </c>
      <c r="G389" s="20" t="n">
        <v>38.14</v>
      </c>
      <c r="H389" s="20" t="str">
        <f>TRUNC(G389 * (1 + 29.07 / 100), 2)</f>
      </c>
      <c r="I389" s="20" t="str">
        <f>TRUNC(F389 * h389, 2)</f>
      </c>
      <c r="J389" s="21" t="str">
        <f>i389 / 3372490.28</f>
      </c>
    </row>
    <row customHeight="1" ht="39" r="390">
      <c r="A390" s="17" t="inlineStr">
        <is>
          <t> 11.4.5 </t>
        </is>
      </c>
      <c r="B390" s="19" t="inlineStr">
        <is>
          <t> JAC0030 </t>
        </is>
      </c>
      <c r="C390" s="17" t="inlineStr">
        <is>
          <t>Próprio</t>
        </is>
      </c>
      <c r="D390" s="17" t="inlineStr">
        <is>
          <t>ELETRODUTO FLEXÍVEL CORRUGADO, PEAD, DN 40 (1 1/4"),  DISTRIBUIÇÃO DE ENERGIA ELÉTRICA - FORNECIMENTO E INSTALAÇÃO</t>
        </is>
      </c>
      <c r="E390" s="18" t="inlineStr">
        <is>
          <t>M</t>
        </is>
      </c>
      <c r="F390" s="19" t="n">
        <v>500.0</v>
      </c>
      <c r="G390" s="20" t="n">
        <v>9.33</v>
      </c>
      <c r="H390" s="20" t="str">
        <f>TRUNC(G390 * (1 + 29.07 / 100), 2)</f>
      </c>
      <c r="I390" s="20" t="str">
        <f>TRUNC(F390 * h390, 2)</f>
      </c>
      <c r="J390" s="21" t="str">
        <f>i390 / 3372490.28</f>
      </c>
    </row>
    <row customHeight="1" ht="65" r="391">
      <c r="A391" s="17" t="inlineStr">
        <is>
          <t> 11.4.6 </t>
        </is>
      </c>
      <c r="B391" s="19" t="inlineStr">
        <is>
          <t> 102302 </t>
        </is>
      </c>
      <c r="C391" s="17" t="inlineStr">
        <is>
          <t>SINAPI</t>
        </is>
      </c>
      <c r="D391" s="17" t="inlineStr">
        <is>
          <t>ESCAVAÇÃO MECANIZADA DE VALA COM PROF. ATÉ 1,5 M (MÉDIA MONTANTE E JUSANTE/UMA COMPOSIÇÃO POR TRECHO), RETROESCAV. (0,26 M3), LARG. MENOR  QUE 0,8 M, EM SOLO MOLE, LOCAIS COM BAIXO NÍVEL DE NTERFERÊNCIA.  AF_02/2021</t>
        </is>
      </c>
      <c r="E391" s="18" t="inlineStr">
        <is>
          <t>m³</t>
        </is>
      </c>
      <c r="F391" s="19" t="n">
        <v>100.0</v>
      </c>
      <c r="G391" s="20" t="n">
        <v>10.45</v>
      </c>
      <c r="H391" s="20" t="str">
        <f>TRUNC(G391 * (1 + 29.07 / 100), 2)</f>
      </c>
      <c r="I391" s="20" t="str">
        <f>TRUNC(F391 * h391, 2)</f>
      </c>
      <c r="J391" s="21" t="str">
        <f>i391 / 3372490.28</f>
      </c>
    </row>
    <row customHeight="1" ht="65" r="392">
      <c r="A392" s="17" t="inlineStr">
        <is>
          <t> 11.4.7 </t>
        </is>
      </c>
      <c r="B392" s="19" t="inlineStr">
        <is>
          <t> 93379 </t>
        </is>
      </c>
      <c r="C392" s="17" t="inlineStr">
        <is>
          <t>SINAPI</t>
        </is>
      </c>
      <c r="D392" s="17" t="inlineStr">
        <is>
          <t>REATERRO MECANIZADO DE VALA COM RETROESCAVADEIRA (CAPACIDADE DA CAÇAMBA   DA RETRO: 0,26 M³/POTÊNCIA: 88 HP), LARGURA 0,8 A 1,5 M, PROFUNDIDADE ATÉ 1,5 M, COM SOLO (SEM SUBSTITUIÇÃO) DE 1ª CATEGORIA, COM COMPACTADOR DE SOLOS DE PERCUSSÃO AF_08/2023</t>
        </is>
      </c>
      <c r="E392" s="18" t="inlineStr">
        <is>
          <t>m³</t>
        </is>
      </c>
      <c r="F392" s="19" t="n">
        <v>100.0</v>
      </c>
      <c r="G392" s="20" t="n">
        <v>19.8</v>
      </c>
      <c r="H392" s="20" t="str">
        <f>TRUNC(G392 * (1 + 29.07 / 100), 2)</f>
      </c>
      <c r="I392" s="20" t="str">
        <f>TRUNC(F392 * h392, 2)</f>
      </c>
      <c r="J392" s="21" t="str">
        <f>i392 / 3372490.28</f>
      </c>
    </row>
    <row customHeight="1" ht="39" r="393">
      <c r="A393" s="17" t="inlineStr">
        <is>
          <t> 11.4.8 </t>
        </is>
      </c>
      <c r="B393" s="19" t="inlineStr">
        <is>
          <t> 97882 </t>
        </is>
      </c>
      <c r="C393" s="17" t="inlineStr">
        <is>
          <t>SINAPI</t>
        </is>
      </c>
      <c r="D393" s="17" t="inlineStr">
        <is>
          <t>CAIXA ENTERRADA ELÉTRICA RETANGULAR, EM CONCRETO PRÉ-MOLDADO, FUNDO COM BRITA, DIMENSÕES INTERNAS: 0,4X0,4X0,4 M. AF_12/2020</t>
        </is>
      </c>
      <c r="E393" s="18" t="inlineStr">
        <is>
          <t>UN</t>
        </is>
      </c>
      <c r="F393" s="19" t="n">
        <v>30.0</v>
      </c>
      <c r="G393" s="20" t="n">
        <v>217.82</v>
      </c>
      <c r="H393" s="20" t="str">
        <f>TRUNC(G393 * (1 + 29.07 / 100), 2)</f>
      </c>
      <c r="I393" s="20" t="str">
        <f>TRUNC(F393 * h393, 2)</f>
      </c>
      <c r="J393" s="21" t="str">
        <f>i393 / 3372490.28</f>
      </c>
    </row>
    <row customHeight="1" ht="39" r="394">
      <c r="A394" s="17" t="inlineStr">
        <is>
          <t> 11.4.10 </t>
        </is>
      </c>
      <c r="B394" s="19" t="inlineStr">
        <is>
          <t> 91928 </t>
        </is>
      </c>
      <c r="C394" s="17" t="inlineStr">
        <is>
          <t>SINAPI</t>
        </is>
      </c>
      <c r="D394" s="17" t="inlineStr">
        <is>
          <t>CABO DE COBRE FLEXÍVEL ISOLADO, 4 MM², ANTI-CHAMA 450/750 V, PARA CIRCUITOS TERMINAIS - FORNECIMENTO E INSTALAÇÃO. AF_03/2023</t>
        </is>
      </c>
      <c r="E394" s="18" t="inlineStr">
        <is>
          <t>M</t>
        </is>
      </c>
      <c r="F394" s="19" t="n">
        <v>3160.0</v>
      </c>
      <c r="G394" s="20" t="n">
        <v>6.04</v>
      </c>
      <c r="H394" s="20" t="str">
        <f>TRUNC(G394 * (1 + 29.07 / 100), 2)</f>
      </c>
      <c r="I394" s="20" t="str">
        <f>TRUNC(F394 * h394, 2)</f>
      </c>
      <c r="J394" s="21" t="str">
        <f>i394 / 3372490.28</f>
      </c>
    </row>
    <row customHeight="1" ht="26" r="395">
      <c r="A395" s="17" t="inlineStr">
        <is>
          <t> 11.4.11 </t>
        </is>
      </c>
      <c r="B395" s="19" t="inlineStr">
        <is>
          <t> ITA0041 </t>
        </is>
      </c>
      <c r="C395" s="17" t="inlineStr">
        <is>
          <t>Próprio</t>
        </is>
      </c>
      <c r="D395" s="17" t="inlineStr">
        <is>
          <t>CAIXA DE CONCRETO PARA REFLETOR/PROJETOR, DIM:(40X40X60CM), NO PISO</t>
        </is>
      </c>
      <c r="E395" s="18" t="inlineStr">
        <is>
          <t>un</t>
        </is>
      </c>
      <c r="F395" s="19" t="n">
        <v>7.0</v>
      </c>
      <c r="G395" s="20" t="n">
        <v>346.03</v>
      </c>
      <c r="H395" s="20" t="str">
        <f>TRUNC(G395 * (1 + 29.07 / 100), 2)</f>
      </c>
      <c r="I395" s="20" t="str">
        <f>TRUNC(F395 * h395, 2)</f>
      </c>
      <c r="J395" s="21" t="str">
        <f>i395 / 3372490.28</f>
      </c>
    </row>
    <row customHeight="1" ht="24" r="396">
      <c r="A396" s="9" t="inlineStr">
        <is>
          <t> 11.5 </t>
        </is>
      </c>
      <c r="B396" s="9"/>
      <c r="C396" s="9"/>
      <c r="D396" s="9" t="inlineStr">
        <is>
          <t>SUBESTAÇÃO AÉREA</t>
        </is>
      </c>
      <c r="E396" s="9"/>
      <c r="F396" s="11"/>
      <c r="G396" s="9"/>
      <c r="H396" s="9"/>
      <c r="I396" s="12" t="n">
        <v>53972.14</v>
      </c>
      <c r="J396" s="13" t="str">
        <f>i396 / 3372490.28</f>
      </c>
    </row>
    <row customHeight="1" ht="26" r="397">
      <c r="A397" s="17" t="inlineStr">
        <is>
          <t> 11.5.1 </t>
        </is>
      </c>
      <c r="B397" s="19" t="inlineStr">
        <is>
          <t> ITA0048 </t>
        </is>
      </c>
      <c r="C397" s="17" t="inlineStr">
        <is>
          <t>Próprio</t>
        </is>
      </c>
      <c r="D397" s="17" t="inlineStr">
        <is>
          <t>SUBESTACAO AÉREA 112,5 KVA - SIMPLIFICADA C/POSTE 12,0m</t>
        </is>
      </c>
      <c r="E397" s="18" t="inlineStr">
        <is>
          <t>UN</t>
        </is>
      </c>
      <c r="F397" s="19" t="n">
        <v>1.0</v>
      </c>
      <c r="G397" s="20" t="n">
        <v>41816.18</v>
      </c>
      <c r="H397" s="20" t="str">
        <f>TRUNC(G397 * (1 + 29.07 / 100), 2)</f>
      </c>
      <c r="I397" s="20" t="str">
        <f>TRUNC(F397 * h397, 2)</f>
      </c>
      <c r="J397" s="21" t="str">
        <f>i397 / 3372490.28</f>
      </c>
    </row>
    <row customHeight="1" ht="24" r="398">
      <c r="A398" s="9" t="inlineStr">
        <is>
          <t> 12 </t>
        </is>
      </c>
      <c r="B398" s="9"/>
      <c r="C398" s="9"/>
      <c r="D398" s="9" t="inlineStr">
        <is>
          <t>INSTALAÇÕES DE LOGICA</t>
        </is>
      </c>
      <c r="E398" s="9"/>
      <c r="F398" s="11"/>
      <c r="G398" s="9"/>
      <c r="H398" s="9"/>
      <c r="I398" s="12" t="n">
        <v>75646.47</v>
      </c>
      <c r="J398" s="13" t="str">
        <f>i398 / 3372490.28</f>
      </c>
    </row>
    <row customHeight="1" ht="39" r="399">
      <c r="A399" s="17" t="inlineStr">
        <is>
          <t> 12.1 </t>
        </is>
      </c>
      <c r="B399" s="19" t="inlineStr">
        <is>
          <t> 97667 </t>
        </is>
      </c>
      <c r="C399" s="17" t="inlineStr">
        <is>
          <t>SINAPI</t>
        </is>
      </c>
      <c r="D399" s="17" t="inlineStr">
        <is>
          <t>ELETRODUTO FLEXÍVEL CORRUGADO, PEAD, DN 50 (1 1/2"), PARA REDE ENTERRADA DE DISTRIBUIÇÃO DE ENERGIA ELÉTRICA - FORNECIMENTO E INSTALAÇÃO. AF_12/2021</t>
        </is>
      </c>
      <c r="E399" s="18" t="inlineStr">
        <is>
          <t>M</t>
        </is>
      </c>
      <c r="F399" s="19" t="n">
        <v>60.0</v>
      </c>
      <c r="G399" s="20" t="n">
        <v>8.93</v>
      </c>
      <c r="H399" s="20" t="str">
        <f>TRUNC(G399 * (1 + 29.07 / 100), 2)</f>
      </c>
      <c r="I399" s="20" t="str">
        <f>TRUNC(F399 * h399, 2)</f>
      </c>
      <c r="J399" s="21" t="str">
        <f>i399 / 3372490.28</f>
      </c>
    </row>
    <row customHeight="1" ht="65" r="400">
      <c r="A400" s="17" t="inlineStr">
        <is>
          <t> 12.2 </t>
        </is>
      </c>
      <c r="B400" s="19" t="inlineStr">
        <is>
          <t> 102302 </t>
        </is>
      </c>
      <c r="C400" s="17" t="inlineStr">
        <is>
          <t>SINAPI</t>
        </is>
      </c>
      <c r="D400" s="17" t="inlineStr">
        <is>
          <t>ESCAVAÇÃO MECANIZADA DE VALA COM PROF. ATÉ 1,5 M (MÉDIA MONTANTE E JUSANTE/UMA COMPOSIÇÃO POR TRECHO), RETROESCAV. (0,26 M3), LARG. MENOR  QUE 0,8 M, EM SOLO MOLE, LOCAIS COM BAIXO NÍVEL DE NTERFERÊNCIA.  AF_02/2021</t>
        </is>
      </c>
      <c r="E400" s="18" t="inlineStr">
        <is>
          <t>m³</t>
        </is>
      </c>
      <c r="F400" s="19" t="n">
        <v>12.0</v>
      </c>
      <c r="G400" s="20" t="n">
        <v>10.45</v>
      </c>
      <c r="H400" s="20" t="str">
        <f>TRUNC(G400 * (1 + 29.07 / 100), 2)</f>
      </c>
      <c r="I400" s="20" t="str">
        <f>TRUNC(F400 * h400, 2)</f>
      </c>
      <c r="J400" s="21" t="str">
        <f>i400 / 3372490.28</f>
      </c>
    </row>
    <row customHeight="1" ht="65" r="401">
      <c r="A401" s="17" t="inlineStr">
        <is>
          <t> 12.3 </t>
        </is>
      </c>
      <c r="B401" s="19" t="inlineStr">
        <is>
          <t> 93379 </t>
        </is>
      </c>
      <c r="C401" s="17" t="inlineStr">
        <is>
          <t>SINAPI</t>
        </is>
      </c>
      <c r="D401" s="17" t="inlineStr">
        <is>
          <t>REATERRO MECANIZADO DE VALA COM RETROESCAVADEIRA (CAPACIDADE DA CAÇAMBA   DA RETRO: 0,26 M³/POTÊNCIA: 88 HP), LARGURA 0,8 A 1,5 M, PROFUNDIDADE ATÉ 1,5 M, COM SOLO (SEM SUBSTITUIÇÃO) DE 1ª CATEGORIA, COM COMPACTADOR DE SOLOS DE PERCUSSÃO AF_08/2023</t>
        </is>
      </c>
      <c r="E401" s="18" t="inlineStr">
        <is>
          <t>m³</t>
        </is>
      </c>
      <c r="F401" s="19" t="n">
        <v>12.0</v>
      </c>
      <c r="G401" s="20" t="n">
        <v>19.8</v>
      </c>
      <c r="H401" s="20" t="str">
        <f>TRUNC(G401 * (1 + 29.07 / 100), 2)</f>
      </c>
      <c r="I401" s="20" t="str">
        <f>TRUNC(F401 * h401, 2)</f>
      </c>
      <c r="J401" s="21" t="str">
        <f>i401 / 3372490.28</f>
      </c>
    </row>
    <row customHeight="1" ht="52" r="402">
      <c r="A402" s="17" t="inlineStr">
        <is>
          <t> 12.4 </t>
        </is>
      </c>
      <c r="B402" s="19" t="inlineStr">
        <is>
          <t> 101795 </t>
        </is>
      </c>
      <c r="C402" s="17" t="inlineStr">
        <is>
          <t>SINAPI</t>
        </is>
      </c>
      <c r="D402" s="17" t="inlineStr">
        <is>
          <t>CAIXA ENTERRADA PARA INSTALAÇÕES TELEFÔNICAS TIPO R1, EM ALVENARIA COM BLOCOS DE CONCRETO, DIMENSÕES INTERNAS: 0,35X0,60X0,60 M, EXCLUINDO TAMPÃO. AF_12/2020</t>
        </is>
      </c>
      <c r="E402" s="18" t="inlineStr">
        <is>
          <t>UN</t>
        </is>
      </c>
      <c r="F402" s="19" t="n">
        <v>3.0</v>
      </c>
      <c r="G402" s="20" t="n">
        <v>567.68</v>
      </c>
      <c r="H402" s="20" t="str">
        <f>TRUNC(G402 * (1 + 29.07 / 100), 2)</f>
      </c>
      <c r="I402" s="20" t="str">
        <f>TRUNC(F402 * h402, 2)</f>
      </c>
      <c r="J402" s="21" t="str">
        <f>i402 / 3372490.28</f>
      </c>
    </row>
    <row customHeight="1" ht="39" r="403">
      <c r="A403" s="17" t="inlineStr">
        <is>
          <t> 12.5 </t>
        </is>
      </c>
      <c r="B403" s="19" t="inlineStr">
        <is>
          <t> 101798 </t>
        </is>
      </c>
      <c r="C403" s="17" t="inlineStr">
        <is>
          <t>SINAPI</t>
        </is>
      </c>
      <c r="D403" s="17" t="inlineStr">
        <is>
          <t>TAMPA PARA CAIXA TIPO R1, EM FERRO FUNDIDO, DIMENSÕES INTERNAS: 0,40 X 0,60 M - FORNECIMENTO E INSTALAÇÃO. AF_12/2020</t>
        </is>
      </c>
      <c r="E403" s="18" t="inlineStr">
        <is>
          <t>UN</t>
        </is>
      </c>
      <c r="F403" s="19" t="n">
        <v>3.0</v>
      </c>
      <c r="G403" s="20" t="n">
        <v>393.21</v>
      </c>
      <c r="H403" s="20" t="str">
        <f>TRUNC(G403 * (1 + 29.07 / 100), 2)</f>
      </c>
      <c r="I403" s="20" t="str">
        <f>TRUNC(F403 * h403, 2)</f>
      </c>
      <c r="J403" s="21" t="str">
        <f>i403 / 3372490.28</f>
      </c>
    </row>
    <row customHeight="1" ht="26" r="404">
      <c r="A404" s="17" t="inlineStr">
        <is>
          <t> 12.6 </t>
        </is>
      </c>
      <c r="B404" s="19" t="inlineStr">
        <is>
          <t> SEMAP 00.03.011 </t>
        </is>
      </c>
      <c r="C404" s="17" t="inlineStr">
        <is>
          <t>Próprio</t>
        </is>
      </c>
      <c r="D404" s="17" t="inlineStr">
        <is>
          <t>ELETRODUTO DE AÇO GALVANIZADO, 3/4", APARENTE - FORNECIMENTO E INSTALAÇÃO</t>
        </is>
      </c>
      <c r="E404" s="18" t="inlineStr">
        <is>
          <t>M</t>
        </is>
      </c>
      <c r="F404" s="19" t="n">
        <v>245.0</v>
      </c>
      <c r="G404" s="20" t="n">
        <v>19.1</v>
      </c>
      <c r="H404" s="20" t="str">
        <f>TRUNC(G404 * (1 + 29.07 / 100), 2)</f>
      </c>
      <c r="I404" s="20" t="str">
        <f>TRUNC(F404 * h404, 2)</f>
      </c>
      <c r="J404" s="21" t="str">
        <f>i404 / 3372490.28</f>
      </c>
    </row>
    <row customHeight="1" ht="26" r="405">
      <c r="A405" s="17" t="inlineStr">
        <is>
          <t> 12.8 </t>
        </is>
      </c>
      <c r="B405" s="19" t="inlineStr">
        <is>
          <t> SEMAP 00.03.012 </t>
        </is>
      </c>
      <c r="C405" s="17" t="inlineStr">
        <is>
          <t>Próprio</t>
        </is>
      </c>
      <c r="D405" s="17" t="inlineStr">
        <is>
          <t>ELETRODUTO DE AÇO GALVANIZADO, 1", APARENTE - FORNECIMENTO E INSTALAÇÃO</t>
        </is>
      </c>
      <c r="E405" s="18" t="inlineStr">
        <is>
          <t>M</t>
        </is>
      </c>
      <c r="F405" s="19" t="n">
        <v>80.0</v>
      </c>
      <c r="G405" s="20" t="n">
        <v>23.37</v>
      </c>
      <c r="H405" s="20" t="str">
        <f>TRUNC(G405 * (1 + 29.07 / 100), 2)</f>
      </c>
      <c r="I405" s="20" t="str">
        <f>TRUNC(F405 * h405, 2)</f>
      </c>
      <c r="J405" s="21" t="str">
        <f>i405 / 3372490.28</f>
      </c>
    </row>
    <row customHeight="1" ht="39" r="406">
      <c r="A406" s="17" t="inlineStr">
        <is>
          <t> 12.9 </t>
        </is>
      </c>
      <c r="B406" s="19" t="inlineStr">
        <is>
          <t> 95787 </t>
        </is>
      </c>
      <c r="C406" s="17" t="inlineStr">
        <is>
          <t>SINAPI</t>
        </is>
      </c>
      <c r="D406" s="17" t="inlineStr">
        <is>
          <t>CONDULETE DE ALUMÍNIO, TIPO LR, PARA ELETRODUTO DE AÇO GALVANIZADO DN 20 MM (3/4</t>
        </is>
      </c>
      <c r="E406" s="18" t="inlineStr">
        <is>
          <t>UN</t>
        </is>
      </c>
      <c r="F406" s="19" t="n">
        <v>10.0</v>
      </c>
      <c r="G406" s="20" t="n">
        <v>31.0</v>
      </c>
      <c r="H406" s="20" t="str">
        <f>TRUNC(G406 * (1 + 29.07 / 100), 2)</f>
      </c>
      <c r="I406" s="20" t="str">
        <f>TRUNC(F406 * h406, 2)</f>
      </c>
      <c r="J406" s="21" t="str">
        <f>i406 / 3372490.28</f>
      </c>
    </row>
    <row customHeight="1" ht="26" r="407">
      <c r="A407" s="17" t="inlineStr">
        <is>
          <t> 12.10 </t>
        </is>
      </c>
      <c r="B407" s="19" t="inlineStr">
        <is>
          <t> SEMAP 00.03.013 </t>
        </is>
      </c>
      <c r="C407" s="17" t="inlineStr">
        <is>
          <t>Próprio</t>
        </is>
      </c>
      <c r="D407" s="17" t="inlineStr">
        <is>
          <t>ELETRODUTO DE AÇO GALVANIZADO, 1 1/4", APARENTE - FORNECIMENTO E INSTALAÇÃO</t>
        </is>
      </c>
      <c r="E407" s="18" t="inlineStr">
        <is>
          <t>M</t>
        </is>
      </c>
      <c r="F407" s="19" t="n">
        <v>25.0</v>
      </c>
      <c r="G407" s="20" t="n">
        <v>36.41</v>
      </c>
      <c r="H407" s="20" t="str">
        <f>TRUNC(G407 * (1 + 29.07 / 100), 2)</f>
      </c>
      <c r="I407" s="20" t="str">
        <f>TRUNC(F407 * h407, 2)</f>
      </c>
      <c r="J407" s="21" t="str">
        <f>i407 / 3372490.28</f>
      </c>
    </row>
    <row customHeight="1" ht="39" r="408">
      <c r="A408" s="17" t="inlineStr">
        <is>
          <t> 12.11 </t>
        </is>
      </c>
      <c r="B408" s="19" t="inlineStr">
        <is>
          <t> 95789 </t>
        </is>
      </c>
      <c r="C408" s="17" t="inlineStr">
        <is>
          <t>SINAPI</t>
        </is>
      </c>
      <c r="D408" s="17" t="inlineStr">
        <is>
          <t>CONDULETE DE ALUMÍNIO, TIPO LR, PARA ELETRODUTO DE AÇO GALVANIZADO DN 25 MM (1</t>
        </is>
      </c>
      <c r="E408" s="18" t="inlineStr">
        <is>
          <t>UN</t>
        </is>
      </c>
      <c r="F408" s="19" t="n">
        <v>1.0</v>
      </c>
      <c r="G408" s="20" t="n">
        <v>43.08</v>
      </c>
      <c r="H408" s="20" t="str">
        <f>TRUNC(G408 * (1 + 29.07 / 100), 2)</f>
      </c>
      <c r="I408" s="20" t="str">
        <f>TRUNC(F408 * h408, 2)</f>
      </c>
      <c r="J408" s="21" t="str">
        <f>i408 / 3372490.28</f>
      </c>
    </row>
    <row customHeight="1" ht="26" r="409">
      <c r="A409" s="17" t="inlineStr">
        <is>
          <t> 12.12 </t>
        </is>
      </c>
      <c r="B409" s="19" t="inlineStr">
        <is>
          <t> SEMAP 00.03.014 </t>
        </is>
      </c>
      <c r="C409" s="17" t="inlineStr">
        <is>
          <t>Próprio</t>
        </is>
      </c>
      <c r="D409" s="17" t="inlineStr">
        <is>
          <t>ELETRODUTO DE AÇO GALVANIZADO, 1 1/2", APARENTE - FORNECIMENTO E INSTALAÇÃO</t>
        </is>
      </c>
      <c r="E409" s="18" t="inlineStr">
        <is>
          <t>M</t>
        </is>
      </c>
      <c r="F409" s="19" t="n">
        <v>70.0</v>
      </c>
      <c r="G409" s="20" t="n">
        <v>39.84</v>
      </c>
      <c r="H409" s="20" t="str">
        <f>TRUNC(G409 * (1 + 29.07 / 100), 2)</f>
      </c>
      <c r="I409" s="20" t="str">
        <f>TRUNC(F409 * h409, 2)</f>
      </c>
      <c r="J409" s="21" t="str">
        <f>i409 / 3372490.28</f>
      </c>
    </row>
    <row customHeight="1" ht="39" r="410">
      <c r="A410" s="17" t="inlineStr">
        <is>
          <t> 12.13 </t>
        </is>
      </c>
      <c r="B410" s="19" t="inlineStr">
        <is>
          <t> 95801 </t>
        </is>
      </c>
      <c r="C410" s="17" t="inlineStr">
        <is>
          <t>SINAPI</t>
        </is>
      </c>
      <c r="D410" s="17" t="inlineStr">
        <is>
          <t>CONDULETE DE ALUMÍNIO, TIPO X, PARA ELETRODUTO DE AÇO GALVANIZADO DN 20 MM (3/4</t>
        </is>
      </c>
      <c r="E410" s="18" t="inlineStr">
        <is>
          <t>UN</t>
        </is>
      </c>
      <c r="F410" s="19" t="n">
        <v>6.0</v>
      </c>
      <c r="G410" s="20" t="n">
        <v>42.91</v>
      </c>
      <c r="H410" s="20" t="str">
        <f>TRUNC(G410 * (1 + 29.07 / 100), 2)</f>
      </c>
      <c r="I410" s="20" t="str">
        <f>TRUNC(F410 * h410, 2)</f>
      </c>
      <c r="J410" s="21" t="str">
        <f>i410 / 3372490.28</f>
      </c>
    </row>
    <row customHeight="1" ht="26" r="411">
      <c r="A411" s="17" t="inlineStr">
        <is>
          <t> 12.13 </t>
        </is>
      </c>
      <c r="B411" s="19" t="inlineStr">
        <is>
          <t> ITA0073 </t>
        </is>
      </c>
      <c r="C411" s="17" t="inlineStr">
        <is>
          <t>Próprio</t>
        </is>
      </c>
      <c r="D411" s="17" t="inlineStr">
        <is>
          <t>ELETRODUTO DE AÇO GALVANIZADO, 2", APARENTE - FORNECIMENTO E INSTALAÇÃO</t>
        </is>
      </c>
      <c r="E411" s="18" t="inlineStr">
        <is>
          <t>M</t>
        </is>
      </c>
      <c r="F411" s="19" t="n">
        <v>10.0</v>
      </c>
      <c r="G411" s="20" t="n">
        <v>91.51</v>
      </c>
      <c r="H411" s="20" t="str">
        <f>TRUNC(G411 * (1 + 29.07 / 100), 2)</f>
      </c>
      <c r="I411" s="20" t="str">
        <f>TRUNC(F411 * h411, 2)</f>
      </c>
      <c r="J411" s="21" t="str">
        <f>i411 / 3372490.28</f>
      </c>
    </row>
    <row customHeight="1" ht="26" r="412">
      <c r="A412" s="17" t="inlineStr">
        <is>
          <t> 12.14 </t>
        </is>
      </c>
      <c r="B412" s="19" t="inlineStr">
        <is>
          <t> ITA0030 </t>
        </is>
      </c>
      <c r="C412" s="17" t="inlineStr">
        <is>
          <t>Próprio</t>
        </is>
      </c>
      <c r="D412" s="17" t="inlineStr">
        <is>
          <t>CAIXA METÁLICA 15X15X10CM, INSTALADA EM LAJE - FORNECIMENTO E INSTALAÇÃO.</t>
        </is>
      </c>
      <c r="E412" s="18" t="inlineStr">
        <is>
          <t>UN</t>
        </is>
      </c>
      <c r="F412" s="19" t="n">
        <v>35.0</v>
      </c>
      <c r="G412" s="20" t="n">
        <v>32.63</v>
      </c>
      <c r="H412" s="20" t="str">
        <f>TRUNC(G412 * (1 + 29.07 / 100), 2)</f>
      </c>
      <c r="I412" s="20" t="str">
        <f>TRUNC(F412 * h412, 2)</f>
      </c>
      <c r="J412" s="21" t="str">
        <f>i412 / 3372490.28</f>
      </c>
    </row>
    <row customHeight="1" ht="39" r="413">
      <c r="A413" s="17" t="inlineStr">
        <is>
          <t> 12.15 </t>
        </is>
      </c>
      <c r="B413" s="19" t="inlineStr">
        <is>
          <t> 98297 </t>
        </is>
      </c>
      <c r="C413" s="17" t="inlineStr">
        <is>
          <t>SINAPI</t>
        </is>
      </c>
      <c r="D413" s="17" t="inlineStr">
        <is>
          <t>CABO ELETRÔNICO CATEGORIA 6, INSTALADO EM EDIFICAÇÃO INSTITUCIONAL - FORNECIMENTO E INSTALAÇÃO. AF_11/2019</t>
        </is>
      </c>
      <c r="E413" s="18" t="inlineStr">
        <is>
          <t>M</t>
        </is>
      </c>
      <c r="F413" s="19" t="n">
        <v>2540.0</v>
      </c>
      <c r="G413" s="20" t="n">
        <v>7.24</v>
      </c>
      <c r="H413" s="20" t="str">
        <f>TRUNC(G413 * (1 + 29.07 / 100), 2)</f>
      </c>
      <c r="I413" s="20" t="str">
        <f>TRUNC(F413 * h413, 2)</f>
      </c>
      <c r="J413" s="21" t="str">
        <f>i413 / 3372490.28</f>
      </c>
    </row>
    <row customHeight="1" ht="39" r="414">
      <c r="A414" s="17" t="inlineStr">
        <is>
          <t> 12.16 </t>
        </is>
      </c>
      <c r="B414" s="19" t="inlineStr">
        <is>
          <t> 91943 </t>
        </is>
      </c>
      <c r="C414" s="17" t="inlineStr">
        <is>
          <t>SINAPI</t>
        </is>
      </c>
      <c r="D414" s="17" t="inlineStr">
        <is>
          <t>CAIXA RETANGULAR 4" X 4" MÉDIA (1,30 M DO PISO), PVC, INSTALADA EM PAREDE - FORNECIMENTO E INSTALAÇÃO. AF_03/2023</t>
        </is>
      </c>
      <c r="E414" s="18" t="inlineStr">
        <is>
          <t>UN</t>
        </is>
      </c>
      <c r="F414" s="19" t="n">
        <v>2.0</v>
      </c>
      <c r="G414" s="20" t="n">
        <v>20.66</v>
      </c>
      <c r="H414" s="20" t="str">
        <f>TRUNC(G414 * (1 + 29.07 / 100), 2)</f>
      </c>
      <c r="I414" s="20" t="str">
        <f>TRUNC(F414 * h414, 2)</f>
      </c>
      <c r="J414" s="21" t="str">
        <f>i414 / 3372490.28</f>
      </c>
    </row>
    <row customHeight="1" ht="26" r="415">
      <c r="A415" s="17" t="inlineStr">
        <is>
          <t> 12.17 </t>
        </is>
      </c>
      <c r="B415" s="19" t="inlineStr">
        <is>
          <t> 98307 </t>
        </is>
      </c>
      <c r="C415" s="17" t="inlineStr">
        <is>
          <t>SINAPI</t>
        </is>
      </c>
      <c r="D415" s="17" t="inlineStr">
        <is>
          <t>TOMADA DE REDE RJ45 - FORNECIMENTO E INSTALAÇÃO. AF_11/2019</t>
        </is>
      </c>
      <c r="E415" s="18" t="inlineStr">
        <is>
          <t>UN</t>
        </is>
      </c>
      <c r="F415" s="19" t="n">
        <v>32.0</v>
      </c>
      <c r="G415" s="20" t="n">
        <v>37.82</v>
      </c>
      <c r="H415" s="20" t="str">
        <f>TRUNC(G415 * (1 + 29.07 / 100), 2)</f>
      </c>
      <c r="I415" s="20" t="str">
        <f>TRUNC(F415 * h415, 2)</f>
      </c>
      <c r="J415" s="21" t="str">
        <f>i415 / 3372490.28</f>
      </c>
    </row>
    <row customHeight="1" ht="26" r="416">
      <c r="A416" s="17" t="inlineStr">
        <is>
          <t> 12.18 </t>
        </is>
      </c>
      <c r="B416" s="19" t="inlineStr">
        <is>
          <t> ITA0031 </t>
        </is>
      </c>
      <c r="C416" s="17" t="inlineStr">
        <is>
          <t>Próprio</t>
        </is>
      </c>
      <c r="D416" s="17" t="inlineStr">
        <is>
          <t>TOMADA DUPLA DE REDE RJ45 - FORNECIMENTO E INSTALAÇÃO</t>
        </is>
      </c>
      <c r="E416" s="18" t="inlineStr">
        <is>
          <t>UN</t>
        </is>
      </c>
      <c r="F416" s="19" t="n">
        <v>13.0</v>
      </c>
      <c r="G416" s="20" t="n">
        <v>54.63</v>
      </c>
      <c r="H416" s="20" t="str">
        <f>TRUNC(G416 * (1 + 29.07 / 100), 2)</f>
      </c>
      <c r="I416" s="20" t="str">
        <f>TRUNC(F416 * h416, 2)</f>
      </c>
      <c r="J416" s="21" t="str">
        <f>i416 / 3372490.28</f>
      </c>
    </row>
    <row customHeight="1" ht="26" r="417">
      <c r="A417" s="17" t="inlineStr">
        <is>
          <t> 12.19 </t>
        </is>
      </c>
      <c r="B417" s="19" t="inlineStr">
        <is>
          <t> SEMAP 02.00.030 </t>
        </is>
      </c>
      <c r="C417" s="17" t="inlineStr">
        <is>
          <t>Próprio</t>
        </is>
      </c>
      <c r="D417" s="17" t="inlineStr">
        <is>
          <t>Fornecimento e instalação de patch cords cat.6 c/2,50m</t>
        </is>
      </c>
      <c r="E417" s="18" t="inlineStr">
        <is>
          <t>un</t>
        </is>
      </c>
      <c r="F417" s="19" t="n">
        <v>72.0</v>
      </c>
      <c r="G417" s="20" t="n">
        <v>34.47</v>
      </c>
      <c r="H417" s="20" t="str">
        <f>TRUNC(G417 * (1 + 29.07 / 100), 2)</f>
      </c>
      <c r="I417" s="20" t="str">
        <f>TRUNC(F417 * h417, 2)</f>
      </c>
      <c r="J417" s="21" t="str">
        <f>i417 / 3372490.28</f>
      </c>
    </row>
    <row customHeight="1" ht="26" r="418">
      <c r="A418" s="17" t="inlineStr">
        <is>
          <t> 12.20 </t>
        </is>
      </c>
      <c r="B418" s="19" t="inlineStr">
        <is>
          <t> 98302 </t>
        </is>
      </c>
      <c r="C418" s="17" t="inlineStr">
        <is>
          <t>SINAPI</t>
        </is>
      </c>
      <c r="D418" s="17" t="inlineStr">
        <is>
          <t>PATCH PANEL 24 PORTAS, CATEGORIA 6 - FORNECIMENTO E INSTALAÇÃO. AF_11/2019</t>
        </is>
      </c>
      <c r="E418" s="18" t="inlineStr">
        <is>
          <t>UN</t>
        </is>
      </c>
      <c r="F418" s="19" t="n">
        <v>4.0</v>
      </c>
      <c r="G418" s="20" t="n">
        <v>1270.34</v>
      </c>
      <c r="H418" s="20" t="str">
        <f>TRUNC(G418 * (1 + 29.07 / 100), 2)</f>
      </c>
      <c r="I418" s="20" t="str">
        <f>TRUNC(F418 * h418, 2)</f>
      </c>
      <c r="J418" s="21" t="str">
        <f>i418 / 3372490.28</f>
      </c>
    </row>
    <row customHeight="1" ht="26" r="419">
      <c r="A419" s="17" t="inlineStr">
        <is>
          <t> 12.21 </t>
        </is>
      </c>
      <c r="B419" s="19" t="inlineStr">
        <is>
          <t> SEMAP 02.00.002 </t>
        </is>
      </c>
      <c r="C419" s="17" t="inlineStr">
        <is>
          <t>Próprio</t>
        </is>
      </c>
      <c r="D419" s="17" t="inlineStr">
        <is>
          <t>FORNECIMENTO E INSTALAÇÃO DE PATCH CORDS  CAT 6 C/1,50m</t>
        </is>
      </c>
      <c r="E419" s="18" t="inlineStr">
        <is>
          <t>un</t>
        </is>
      </c>
      <c r="F419" s="19" t="n">
        <v>14.0</v>
      </c>
      <c r="G419" s="20" t="n">
        <v>30.17</v>
      </c>
      <c r="H419" s="20" t="str">
        <f>TRUNC(G419 * (1 + 29.07 / 100), 2)</f>
      </c>
      <c r="I419" s="20" t="str">
        <f>TRUNC(F419 * h419, 2)</f>
      </c>
      <c r="J419" s="21" t="str">
        <f>i419 / 3372490.28</f>
      </c>
    </row>
    <row customHeight="1" ht="26" r="420">
      <c r="A420" s="17" t="inlineStr">
        <is>
          <t> 12.22 </t>
        </is>
      </c>
      <c r="B420" s="19" t="inlineStr">
        <is>
          <t> SEMAI 02.01.014 </t>
        </is>
      </c>
      <c r="C420" s="17" t="inlineStr">
        <is>
          <t>Próprio</t>
        </is>
      </c>
      <c r="D420" s="17" t="inlineStr">
        <is>
          <t>FORNECIMENTO E INSTALAÇÃO DE CONECTOR RJ45 MACHO CAT 6</t>
        </is>
      </c>
      <c r="E420" s="18" t="inlineStr">
        <is>
          <t>UND</t>
        </is>
      </c>
      <c r="F420" s="19" t="n">
        <v>14.0</v>
      </c>
      <c r="G420" s="20" t="n">
        <v>8.02</v>
      </c>
      <c r="H420" s="20" t="str">
        <f>TRUNC(G420 * (1 + 29.07 / 100), 2)</f>
      </c>
      <c r="I420" s="20" t="str">
        <f>TRUNC(F420 * h420, 2)</f>
      </c>
      <c r="J420" s="21" t="str">
        <f>i420 / 3372490.28</f>
      </c>
    </row>
    <row customHeight="1" ht="39" r="421">
      <c r="A421" s="17" t="inlineStr">
        <is>
          <t> 12.23 </t>
        </is>
      </c>
      <c r="B421" s="19" t="inlineStr">
        <is>
          <t> 91941 </t>
        </is>
      </c>
      <c r="C421" s="17" t="inlineStr">
        <is>
          <t>SINAPI</t>
        </is>
      </c>
      <c r="D421" s="17" t="inlineStr">
        <is>
          <t>CAIXA RETANGULAR 4" X 2" BAIXA (0,30 M DO PISO), PVC, INSTALADA EM PAREDE - FORNECIMENTO E INSTALAÇÃO. AF_03/2023</t>
        </is>
      </c>
      <c r="E421" s="18" t="inlineStr">
        <is>
          <t>UN</t>
        </is>
      </c>
      <c r="F421" s="19" t="n">
        <v>42.0</v>
      </c>
      <c r="G421" s="20" t="n">
        <v>11.24</v>
      </c>
      <c r="H421" s="20" t="str">
        <f>TRUNC(G421 * (1 + 29.07 / 100), 2)</f>
      </c>
      <c r="I421" s="20" t="str">
        <f>TRUNC(F421 * h421, 2)</f>
      </c>
      <c r="J421" s="21" t="str">
        <f>i421 / 3372490.28</f>
      </c>
    </row>
    <row customHeight="1" ht="39" r="422">
      <c r="A422" s="17" t="inlineStr">
        <is>
          <t> 12.24 </t>
        </is>
      </c>
      <c r="B422" s="19" t="inlineStr">
        <is>
          <t> ITA0032 </t>
        </is>
      </c>
      <c r="C422" s="17" t="inlineStr">
        <is>
          <t>Próprio</t>
        </is>
      </c>
      <c r="D422" s="17" t="inlineStr">
        <is>
          <t>RACK DE PISO 32 US FECHADO COM LATERAIS E FUNDO DESMONTÁCEIS, CONFORME PROJETO - FORNECIMENTO E INSTALAÇÃO</t>
        </is>
      </c>
      <c r="E422" s="18" t="inlineStr">
        <is>
          <t>UND</t>
        </is>
      </c>
      <c r="F422" s="19" t="n">
        <v>1.0</v>
      </c>
      <c r="G422" s="20" t="n">
        <v>2754.79</v>
      </c>
      <c r="H422" s="20" t="str">
        <f>TRUNC(G422 * (1 + 29.07 / 100), 2)</f>
      </c>
      <c r="I422" s="20" t="str">
        <f>TRUNC(F422 * h422, 2)</f>
      </c>
      <c r="J422" s="21" t="str">
        <f>i422 / 3372490.28</f>
      </c>
    </row>
    <row customHeight="1" ht="26" r="423">
      <c r="A423" s="17" t="inlineStr">
        <is>
          <t> 12.25 </t>
        </is>
      </c>
      <c r="B423" s="19" t="inlineStr">
        <is>
          <t> RC0132 </t>
        </is>
      </c>
      <c r="C423" s="17" t="inlineStr">
        <is>
          <t>Próprio</t>
        </is>
      </c>
      <c r="D423" s="17" t="inlineStr">
        <is>
          <t>FORNECIMENTO E INSTALAÇÃO DE NOBREAK 1200 VA BIVOLT</t>
        </is>
      </c>
      <c r="E423" s="18" t="inlineStr">
        <is>
          <t>UND</t>
        </is>
      </c>
      <c r="F423" s="19" t="n">
        <v>1.0</v>
      </c>
      <c r="G423" s="20" t="n">
        <v>706.97</v>
      </c>
      <c r="H423" s="20" t="str">
        <f>TRUNC(G423 * (1 + 29.07 / 100), 2)</f>
      </c>
      <c r="I423" s="20" t="str">
        <f>TRUNC(F423 * h423, 2)</f>
      </c>
      <c r="J423" s="21" t="str">
        <f>i423 / 3372490.28</f>
      </c>
    </row>
    <row customHeight="1" ht="39" r="424">
      <c r="A424" s="17" t="inlineStr">
        <is>
          <t> 12.26 </t>
        </is>
      </c>
      <c r="B424" s="19" t="inlineStr">
        <is>
          <t> 91871 </t>
        </is>
      </c>
      <c r="C424" s="17" t="inlineStr">
        <is>
          <t>SINAPI</t>
        </is>
      </c>
      <c r="D424" s="17" t="inlineStr">
        <is>
          <t>ELETRODUTO RÍGIDO ROSCÁVEL, PVC, DN 25 MM (3/4"), PARA CIRCUITOS TERMINAIS, INSTALADO EM PAREDE - FORNECIMENTO E INSTALAÇÃO. AF_03/2023</t>
        </is>
      </c>
      <c r="E424" s="18" t="inlineStr">
        <is>
          <t>M</t>
        </is>
      </c>
      <c r="F424" s="19" t="n">
        <v>53.0</v>
      </c>
      <c r="G424" s="20" t="n">
        <v>13.71</v>
      </c>
      <c r="H424" s="20" t="str">
        <f>TRUNC(G424 * (1 + 29.07 / 100), 2)</f>
      </c>
      <c r="I424" s="20" t="str">
        <f>TRUNC(F424 * h424, 2)</f>
      </c>
      <c r="J424" s="21" t="str">
        <f>i424 / 3372490.28</f>
      </c>
    </row>
    <row customHeight="1" ht="24" r="425">
      <c r="A425" s="17" t="inlineStr">
        <is>
          <t> 12.27 </t>
        </is>
      </c>
      <c r="B425" s="19" t="inlineStr">
        <is>
          <t> LOG010 </t>
        </is>
      </c>
      <c r="C425" s="17" t="inlineStr">
        <is>
          <t>Próprio</t>
        </is>
      </c>
      <c r="D425" s="17" t="inlineStr">
        <is>
          <t>KIT RODIZIO PARA RACK - FORNECIMENTO E INSTALAÇÃO</t>
        </is>
      </c>
      <c r="E425" s="18" t="inlineStr">
        <is>
          <t>UND</t>
        </is>
      </c>
      <c r="F425" s="19" t="n">
        <v>1.0</v>
      </c>
      <c r="G425" s="20" t="n">
        <v>525.78</v>
      </c>
      <c r="H425" s="20" t="str">
        <f>TRUNC(G425 * (1 + 29.07 / 100), 2)</f>
      </c>
      <c r="I425" s="20" t="str">
        <f>TRUNC(F425 * h425, 2)</f>
      </c>
      <c r="J425" s="21" t="str">
        <f>i425 / 3372490.28</f>
      </c>
    </row>
    <row customHeight="1" ht="26" r="426">
      <c r="A426" s="17" t="inlineStr">
        <is>
          <t> 12.28 </t>
        </is>
      </c>
      <c r="B426" s="19" t="inlineStr">
        <is>
          <t> SEMAP 00.03.015 </t>
        </is>
      </c>
      <c r="C426" s="17" t="inlineStr">
        <is>
          <t>Próprio</t>
        </is>
      </c>
      <c r="D426" s="17" t="inlineStr">
        <is>
          <t>CURVA PARA ELETRODUTO DE AÇO GALVANIZADO, 3/4", APARENTE - FORNECIMENTO E INSTALAÇÃO</t>
        </is>
      </c>
      <c r="E426" s="18" t="inlineStr">
        <is>
          <t>UND</t>
        </is>
      </c>
      <c r="F426" s="19" t="n">
        <v>22.0</v>
      </c>
      <c r="G426" s="20" t="n">
        <v>14.8</v>
      </c>
      <c r="H426" s="20" t="str">
        <f>TRUNC(G426 * (1 + 29.07 / 100), 2)</f>
      </c>
      <c r="I426" s="20" t="str">
        <f>TRUNC(F426 * h426, 2)</f>
      </c>
      <c r="J426" s="21" t="str">
        <f>i426 / 3372490.28</f>
      </c>
    </row>
    <row customHeight="1" ht="26" r="427">
      <c r="A427" s="17" t="inlineStr">
        <is>
          <t> 12.29 </t>
        </is>
      </c>
      <c r="B427" s="19" t="inlineStr">
        <is>
          <t> ITA0033 </t>
        </is>
      </c>
      <c r="C427" s="17" t="inlineStr">
        <is>
          <t>Próprio</t>
        </is>
      </c>
      <c r="D427" s="17" t="inlineStr">
        <is>
          <t>FORNECIMENTO E INSTALAÇÃO DE SWITCH 24 PORTAS GERENCIAVEL POE 10/100 /1000 - INTELBRAS</t>
        </is>
      </c>
      <c r="E427" s="18" t="inlineStr">
        <is>
          <t>un</t>
        </is>
      </c>
      <c r="F427" s="19" t="n">
        <v>2.0</v>
      </c>
      <c r="G427" s="20" t="n">
        <v>3620.11</v>
      </c>
      <c r="H427" s="20" t="str">
        <f>TRUNC(G427 * (1 + 29.07 / 100), 2)</f>
      </c>
      <c r="I427" s="20" t="str">
        <f>TRUNC(F427 * h427, 2)</f>
      </c>
      <c r="J427" s="21" t="str">
        <f>i427 / 3372490.28</f>
      </c>
    </row>
    <row customHeight="1" ht="24" r="428">
      <c r="A428" s="17" t="inlineStr">
        <is>
          <t> 12.30 </t>
        </is>
      </c>
      <c r="B428" s="19" t="inlineStr">
        <is>
          <t> ITA0034 </t>
        </is>
      </c>
      <c r="C428" s="17" t="inlineStr">
        <is>
          <t>Próprio</t>
        </is>
      </c>
      <c r="D428" s="17" t="inlineStr">
        <is>
          <t>REGUA 19" COM 12 TOMADAS 2P+T</t>
        </is>
      </c>
      <c r="E428" s="18" t="inlineStr">
        <is>
          <t>UN</t>
        </is>
      </c>
      <c r="F428" s="19" t="n">
        <v>2.0</v>
      </c>
      <c r="G428" s="20" t="n">
        <v>98.69</v>
      </c>
      <c r="H428" s="20" t="str">
        <f>TRUNC(G428 * (1 + 29.07 / 100), 2)</f>
      </c>
      <c r="I428" s="20" t="str">
        <f>TRUNC(F428 * h428, 2)</f>
      </c>
      <c r="J428" s="21" t="str">
        <f>i428 / 3372490.28</f>
      </c>
    </row>
    <row customHeight="1" ht="26" r="429">
      <c r="A429" s="17" t="inlineStr">
        <is>
          <t> 12.31 </t>
        </is>
      </c>
      <c r="B429" s="19" t="inlineStr">
        <is>
          <t> ITA0043 </t>
        </is>
      </c>
      <c r="C429" s="17" t="inlineStr">
        <is>
          <t>Próprio</t>
        </is>
      </c>
      <c r="D429" s="17" t="inlineStr">
        <is>
          <t>SISTEMA KIT VENTILAÇÃO 04 VENTILADORES PARA RACK 19" - INTELBRAS</t>
        </is>
      </c>
      <c r="E429" s="18" t="inlineStr">
        <is>
          <t>UN</t>
        </is>
      </c>
      <c r="F429" s="19" t="n">
        <v>1.0</v>
      </c>
      <c r="G429" s="20" t="n">
        <v>524.3</v>
      </c>
      <c r="H429" s="20" t="str">
        <f>TRUNC(G429 * (1 + 29.07 / 100), 2)</f>
      </c>
      <c r="I429" s="20" t="str">
        <f>TRUNC(F429 * h429, 2)</f>
      </c>
      <c r="J429" s="21" t="str">
        <f>i429 / 3372490.28</f>
      </c>
    </row>
    <row customHeight="1" ht="24" r="430">
      <c r="A430" s="9" t="inlineStr">
        <is>
          <t> 13 </t>
        </is>
      </c>
      <c r="B430" s="9"/>
      <c r="C430" s="9"/>
      <c r="D430" s="9" t="inlineStr">
        <is>
          <t>PISO</t>
        </is>
      </c>
      <c r="E430" s="9"/>
      <c r="F430" s="11"/>
      <c r="G430" s="9"/>
      <c r="H430" s="9"/>
      <c r="I430" s="12" t="n">
        <v>375346.1</v>
      </c>
      <c r="J430" s="13" t="str">
        <f>i430 / 3372490.28</f>
      </c>
    </row>
    <row customHeight="1" ht="26" r="431">
      <c r="A431" s="17" t="inlineStr">
        <is>
          <t> 13.1 </t>
        </is>
      </c>
      <c r="B431" s="19" t="inlineStr">
        <is>
          <t> 102488 </t>
        </is>
      </c>
      <c r="C431" s="17" t="inlineStr">
        <is>
          <t>SINAPI</t>
        </is>
      </c>
      <c r="D431" s="17" t="inlineStr">
        <is>
          <t>PREPARO DO PISO CIMENTADO PARA PINTURA - LIXAMENTO E LIMPEZA. AF_05/2021</t>
        </is>
      </c>
      <c r="E431" s="18" t="inlineStr">
        <is>
          <t>m²</t>
        </is>
      </c>
      <c r="F431" s="19" t="n">
        <v>683.25</v>
      </c>
      <c r="G431" s="20" t="n">
        <v>3.7</v>
      </c>
      <c r="H431" s="20" t="str">
        <f>TRUNC(G431 * (1 + 29.07 / 100), 2)</f>
      </c>
      <c r="I431" s="20" t="str">
        <f>TRUNC(F431 * h431, 2)</f>
      </c>
      <c r="J431" s="21" t="str">
        <f>i431 / 3372490.28</f>
      </c>
    </row>
    <row customHeight="1" ht="39" r="432">
      <c r="A432" s="17" t="inlineStr">
        <is>
          <t> 13.2 </t>
        </is>
      </c>
      <c r="B432" s="19" t="inlineStr">
        <is>
          <t> JAC0175 </t>
        </is>
      </c>
      <c r="C432" s="17" t="inlineStr">
        <is>
          <t>Próprio</t>
        </is>
      </c>
      <c r="D432" s="17" t="inlineStr">
        <is>
          <t>PISO ALTA RESISTENCIA, COR CINZA, E=12MM, APLICADO COM JUNTAS, POLIDO ATÉ O ESMERIL 400 E ENCERADO, EXCLUSIVE ARGAMASSA DE REGUALRIZAÇÃO</t>
        </is>
      </c>
      <c r="E432" s="18" t="inlineStr">
        <is>
          <t>M²</t>
        </is>
      </c>
      <c r="F432" s="19" t="n">
        <v>891.66</v>
      </c>
      <c r="G432" s="20" t="n">
        <v>71.32</v>
      </c>
      <c r="H432" s="20" t="str">
        <f>TRUNC(G432 * (1 + 29.07 / 100), 2)</f>
      </c>
      <c r="I432" s="20" t="str">
        <f>TRUNC(F432 * h432, 2)</f>
      </c>
      <c r="J432" s="21" t="str">
        <f>i432 / 3372490.28</f>
      </c>
    </row>
    <row customHeight="1" ht="52" r="433">
      <c r="A433" s="17" t="inlineStr">
        <is>
          <t> 13.3 </t>
        </is>
      </c>
      <c r="B433" s="19" t="inlineStr">
        <is>
          <t> 87642 </t>
        </is>
      </c>
      <c r="C433" s="17" t="inlineStr">
        <is>
          <t>SINAPI</t>
        </is>
      </c>
      <c r="D433" s="17" t="inlineStr">
        <is>
          <t>CONTRAPISO EM ARGAMASSA TRAÇO 1:4 (CIMENTO E AREIA), PREPARO MANUAL, APLICADO EM ÁREAS SECAS SOBRE LAJE, ADERIDO, ACABAMENTO NÃO REFORÇADO, ESPESSURA 4CM. AF_07/2021</t>
        </is>
      </c>
      <c r="E433" s="18" t="inlineStr">
        <is>
          <t>m²</t>
        </is>
      </c>
      <c r="F433" s="19" t="n">
        <v>891.66</v>
      </c>
      <c r="G433" s="20" t="n">
        <v>53.92</v>
      </c>
      <c r="H433" s="20" t="str">
        <f>TRUNC(G433 * (1 + 29.07 / 100), 2)</f>
      </c>
      <c r="I433" s="20" t="str">
        <f>TRUNC(F433 * h433, 2)</f>
      </c>
      <c r="J433" s="21" t="str">
        <f>i433 / 3372490.28</f>
      </c>
    </row>
    <row customHeight="1" ht="52" r="434">
      <c r="A434" s="17" t="inlineStr">
        <is>
          <t> 13.4 </t>
        </is>
      </c>
      <c r="B434" s="19" t="inlineStr">
        <is>
          <t> 94992 </t>
        </is>
      </c>
      <c r="C434" s="17" t="inlineStr">
        <is>
          <t>SINAPI</t>
        </is>
      </c>
      <c r="D434" s="17" t="inlineStr">
        <is>
          <t>EXECUÇÃO DE PASSEIO (CALÇADA) OU PISO DE CONCRETO COM CONCRETO MOLDADO IN LOCO, FEITO EM OBRA, ACABAMENTO CONVENCIONAL, ESPESSURA 6 CM, ARMADO. AF_08/2022</t>
        </is>
      </c>
      <c r="E434" s="18" t="inlineStr">
        <is>
          <t>m²</t>
        </is>
      </c>
      <c r="F434" s="19" t="n">
        <v>891.66</v>
      </c>
      <c r="G434" s="20" t="n">
        <v>75.92</v>
      </c>
      <c r="H434" s="20" t="str">
        <f>TRUNC(G434 * (1 + 29.07 / 100), 2)</f>
      </c>
      <c r="I434" s="20" t="str">
        <f>TRUNC(F434 * h434, 2)</f>
      </c>
      <c r="J434" s="21" t="str">
        <f>i434 / 3372490.28</f>
      </c>
    </row>
    <row customHeight="1" ht="26" r="435">
      <c r="A435" s="17" t="inlineStr">
        <is>
          <t> 13.5 </t>
        </is>
      </c>
      <c r="B435" s="19" t="inlineStr">
        <is>
          <t> ITABUNA 01 </t>
        </is>
      </c>
      <c r="C435" s="17" t="inlineStr">
        <is>
          <t>Próprio</t>
        </is>
      </c>
      <c r="D435" s="17" t="inlineStr">
        <is>
          <t>PISO VINÍLICO SEMI-FLEXÍVEL EM PLACAS, PADRÃO LISO, ESPESSURA 2 MM, FIXADO COM COLA.</t>
        </is>
      </c>
      <c r="E435" s="18" t="inlineStr">
        <is>
          <t>m²</t>
        </is>
      </c>
      <c r="F435" s="19" t="n">
        <v>655.26</v>
      </c>
      <c r="G435" s="20" t="n">
        <v>126.3</v>
      </c>
      <c r="H435" s="20" t="str">
        <f>TRUNC(G435 * (1 + 29.07 / 100), 2)</f>
      </c>
      <c r="I435" s="20" t="str">
        <f>TRUNC(F435 * h435, 2)</f>
      </c>
      <c r="J435" s="21" t="str">
        <f>i435 / 3372490.28</f>
      </c>
    </row>
    <row customHeight="1" ht="26" r="436">
      <c r="A436" s="17" t="inlineStr">
        <is>
          <t> 13.6 </t>
        </is>
      </c>
      <c r="B436" s="19" t="inlineStr">
        <is>
          <t> 104738 </t>
        </is>
      </c>
      <c r="C436" s="17" t="inlineStr">
        <is>
          <t>SINAPI</t>
        </is>
      </c>
      <c r="D436" s="17" t="inlineStr">
        <is>
          <t>ATERRO MECANIZADO DE VALA COM MINICARREGADEIRA, COM SOLO ARGILO-ARENOSO. AF_08/2023</t>
        </is>
      </c>
      <c r="E436" s="18" t="inlineStr">
        <is>
          <t>m³</t>
        </is>
      </c>
      <c r="F436" s="19" t="n">
        <v>46.53</v>
      </c>
      <c r="G436" s="20" t="n">
        <v>81.81</v>
      </c>
      <c r="H436" s="20" t="str">
        <f>TRUNC(G436 * (1 + 29.07 / 100), 2)</f>
      </c>
      <c r="I436" s="20" t="str">
        <f>TRUNC(F436 * h436, 2)</f>
      </c>
      <c r="J436" s="21" t="str">
        <f>i436 / 3372490.28</f>
      </c>
    </row>
    <row customHeight="1" ht="52" r="437">
      <c r="A437" s="17" t="inlineStr">
        <is>
          <t> 13.7 </t>
        </is>
      </c>
      <c r="B437" s="19" t="inlineStr">
        <is>
          <t> 104609 </t>
        </is>
      </c>
      <c r="C437" s="17" t="inlineStr">
        <is>
          <t>SINAPI</t>
        </is>
      </c>
      <c r="D437" s="17" t="inlineStr">
        <is>
          <t>REVESTIMENTO CERÂMICO PARA PISO COM PLACAS TIPO PORCELANATO DE DIMENSÕES 45X45 CM APLICADA EM DIAGONAL EM AMBIENTES DE ÁREA ENTRE 5 M² E 10 M². AF_02/2023_PE</t>
        </is>
      </c>
      <c r="E437" s="18" t="inlineStr">
        <is>
          <t>m²</t>
        </is>
      </c>
      <c r="F437" s="19" t="n">
        <v>72.27</v>
      </c>
      <c r="G437" s="20" t="n">
        <v>143.49</v>
      </c>
      <c r="H437" s="20" t="str">
        <f>TRUNC(G437 * (1 + 29.07 / 100), 2)</f>
      </c>
      <c r="I437" s="20" t="str">
        <f>TRUNC(F437 * h437, 2)</f>
      </c>
      <c r="J437" s="21" t="str">
        <f>i437 / 3372490.28</f>
      </c>
    </row>
    <row customHeight="1" ht="26" r="438">
      <c r="A438" s="17" t="inlineStr">
        <is>
          <t> 13.8 </t>
        </is>
      </c>
      <c r="B438" s="19" t="inlineStr">
        <is>
          <t> 101094 </t>
        </is>
      </c>
      <c r="C438" s="17" t="inlineStr">
        <is>
          <t>SINAPI</t>
        </is>
      </c>
      <c r="D438" s="17" t="inlineStr">
        <is>
          <t>PISO PODOTÁTIL DE ALERTA OU DIRECIONAL, DE BORRACHA, ASSENTADO SOBRE ARGAMASSA. AF_05/2020</t>
        </is>
      </c>
      <c r="E438" s="18" t="inlineStr">
        <is>
          <t>M</t>
        </is>
      </c>
      <c r="F438" s="19" t="n">
        <v>30.0</v>
      </c>
      <c r="G438" s="20" t="n">
        <v>173.55</v>
      </c>
      <c r="H438" s="20" t="str">
        <f>TRUNC(G438 * (1 + 29.07 / 100), 2)</f>
      </c>
      <c r="I438" s="20" t="str">
        <f>TRUNC(F438 * h438, 2)</f>
      </c>
      <c r="J438" s="21" t="str">
        <f>i438 / 3372490.28</f>
      </c>
    </row>
    <row customHeight="1" ht="24" r="439">
      <c r="A439" s="17" t="inlineStr">
        <is>
          <t> 13.9 </t>
        </is>
      </c>
      <c r="B439" s="19" t="inlineStr">
        <is>
          <t> JAC0003 </t>
        </is>
      </c>
      <c r="C439" s="17" t="inlineStr">
        <is>
          <t>Próprio</t>
        </is>
      </c>
      <c r="D439" s="17" t="inlineStr">
        <is>
          <t>RODAPÉ ALTA RESISTÊNCIA, H =  7 CM</t>
        </is>
      </c>
      <c r="E439" s="18" t="inlineStr">
        <is>
          <t>m</t>
        </is>
      </c>
      <c r="F439" s="19" t="n">
        <v>115.79</v>
      </c>
      <c r="G439" s="20" t="n">
        <v>23.97</v>
      </c>
      <c r="H439" s="20" t="str">
        <f>TRUNC(G439 * (1 + 29.07 / 100), 2)</f>
      </c>
      <c r="I439" s="20" t="str">
        <f>TRUNC(F439 * h439, 2)</f>
      </c>
      <c r="J439" s="21" t="str">
        <f>i439 / 3372490.28</f>
      </c>
    </row>
    <row customHeight="1" ht="26" r="440">
      <c r="A440" s="17" t="inlineStr">
        <is>
          <t> 13.10 </t>
        </is>
      </c>
      <c r="B440" s="19" t="inlineStr">
        <is>
          <t> ITA0072 </t>
        </is>
      </c>
      <c r="C440" s="17" t="inlineStr">
        <is>
          <t>Próprio</t>
        </is>
      </c>
      <c r="D440" s="17" t="inlineStr">
        <is>
          <t>RODAPE  VINÍLICO SEMI-FLEXÍVEL EM PLACAS, PADRÃO LISO, ESPESSURA 2 MM, FIXADO COM COLA.</t>
        </is>
      </c>
      <c r="E440" s="18" t="inlineStr">
        <is>
          <t>M</t>
        </is>
      </c>
      <c r="F440" s="19" t="n">
        <v>253.0</v>
      </c>
      <c r="G440" s="20" t="n">
        <v>15.87</v>
      </c>
      <c r="H440" s="20" t="str">
        <f>TRUNC(G440 * (1 + 29.07 / 100), 2)</f>
      </c>
      <c r="I440" s="20" t="str">
        <f>TRUNC(F440 * h440, 2)</f>
      </c>
      <c r="J440" s="21" t="str">
        <f>i440 / 3372490.28</f>
      </c>
    </row>
    <row customHeight="1" ht="24" r="441">
      <c r="A441" s="9" t="inlineStr">
        <is>
          <t> 14 </t>
        </is>
      </c>
      <c r="B441" s="9"/>
      <c r="C441" s="9"/>
      <c r="D441" s="9" t="inlineStr">
        <is>
          <t>REVESTIMENTO PARA PAREDES</t>
        </is>
      </c>
      <c r="E441" s="9"/>
      <c r="F441" s="11"/>
      <c r="G441" s="9"/>
      <c r="H441" s="9"/>
      <c r="I441" s="12" t="n">
        <v>86675.27</v>
      </c>
      <c r="J441" s="13" t="str">
        <f>i441 / 3372490.28</f>
      </c>
    </row>
    <row customHeight="1" ht="52" r="442">
      <c r="A442" s="17" t="inlineStr">
        <is>
          <t> 14.1 </t>
        </is>
      </c>
      <c r="B442" s="19" t="inlineStr">
        <is>
          <t> 87879 </t>
        </is>
      </c>
      <c r="C442" s="17" t="inlineStr">
        <is>
          <t>SINAPI</t>
        </is>
      </c>
      <c r="D442" s="17" t="inlineStr">
        <is>
          <t>CHAPISCO APLICADO EM ALVENARIAS E ESTRUTURAS DE CONCRETO INTERNAS, COM COLHER DE PEDREIRO.  ARGAMASSA TRAÇO 1:3 COM PREPARO EM BETONEIRA 400L. AF_10/2022</t>
        </is>
      </c>
      <c r="E442" s="18" t="inlineStr">
        <is>
          <t>m²</t>
        </is>
      </c>
      <c r="F442" s="19" t="n">
        <v>1486.56</v>
      </c>
      <c r="G442" s="20" t="n">
        <v>4.72</v>
      </c>
      <c r="H442" s="20" t="str">
        <f>TRUNC(G442 * (1 + 29.07 / 100), 2)</f>
      </c>
      <c r="I442" s="20" t="str">
        <f>TRUNC(F442 * h442, 2)</f>
      </c>
      <c r="J442" s="21" t="str">
        <f>i442 / 3372490.28</f>
      </c>
    </row>
    <row customHeight="1" ht="52" r="443">
      <c r="A443" s="17" t="inlineStr">
        <is>
          <t> 14.2 </t>
        </is>
      </c>
      <c r="B443" s="19" t="inlineStr">
        <is>
          <t> 104958 </t>
        </is>
      </c>
      <c r="C443" s="17" t="inlineStr">
        <is>
          <t>SINAPI</t>
        </is>
      </c>
      <c r="D443" s="17" t="inlineStr">
        <is>
          <t>MASSA ÚNICA, EM ARGAMASSA TRAÇO 1:2:8 PREPARO MECÂNICO, APLICADA MANUALMENTE EM PAREDES INTERNAS DE AMBIENTES COM ÁREA MAIOR QUE 10M², E = 10MM, COM TALISCAS. AF_03/2024</t>
        </is>
      </c>
      <c r="E443" s="18" t="inlineStr">
        <is>
          <t>m²</t>
        </is>
      </c>
      <c r="F443" s="19" t="n">
        <v>1317.01</v>
      </c>
      <c r="G443" s="20" t="n">
        <v>25.37</v>
      </c>
      <c r="H443" s="20" t="str">
        <f>TRUNC(G443 * (1 + 29.07 / 100), 2)</f>
      </c>
      <c r="I443" s="20" t="str">
        <f>TRUNC(F443 * h443, 2)</f>
      </c>
      <c r="J443" s="21" t="str">
        <f>i443 / 3372490.28</f>
      </c>
    </row>
    <row customHeight="1" ht="52" r="444">
      <c r="A444" s="17" t="inlineStr">
        <is>
          <t> 14.3 </t>
        </is>
      </c>
      <c r="B444" s="19" t="inlineStr">
        <is>
          <t> 87273 </t>
        </is>
      </c>
      <c r="C444" s="17" t="inlineStr">
        <is>
          <t>SINAPI</t>
        </is>
      </c>
      <c r="D444" s="17" t="inlineStr">
        <is>
          <t>REVESTIMENTO CERÂMICO PARA PAREDES INTERNAS COM PLACAS TIPO ESMALTADA EXTRA  DE DIMENSÕES 33X45 CM APLICADAS NA ALTURA INTEIRA DAS PAREDES. AF_02/2023_PE</t>
        </is>
      </c>
      <c r="E444" s="18" t="inlineStr">
        <is>
          <t>m²</t>
        </is>
      </c>
      <c r="F444" s="19" t="n">
        <v>169.55</v>
      </c>
      <c r="G444" s="20" t="n">
        <v>64.87</v>
      </c>
      <c r="H444" s="20" t="str">
        <f>TRUNC(G444 * (1 + 29.07 / 100), 2)</f>
      </c>
      <c r="I444" s="20" t="str">
        <f>TRUNC(F444 * h444, 2)</f>
      </c>
      <c r="J444" s="21" t="str">
        <f>i444 / 3372490.28</f>
      </c>
    </row>
    <row customHeight="1" ht="52" r="445">
      <c r="A445" s="17" t="inlineStr">
        <is>
          <t> 14.4 </t>
        </is>
      </c>
      <c r="B445" s="19" t="inlineStr">
        <is>
          <t> 87549 </t>
        </is>
      </c>
      <c r="C445" s="17" t="inlineStr">
        <is>
          <t>SINAPI</t>
        </is>
      </c>
      <c r="D445" s="17" t="inlineStr">
        <is>
          <t>EMBOÇO, EM ARGAMASSA TRAÇO 1:2:8, PREPARO MECÂNICO, APLICADO MANUALMENTE EM PAREDES INTERNAS DE AMBIENTES COM ÁREA ENTRE 5M² E 10M², E = 10MM, COM TALISCAS. AF_03/2024</t>
        </is>
      </c>
      <c r="E445" s="18" t="inlineStr">
        <is>
          <t>m²</t>
        </is>
      </c>
      <c r="F445" s="19" t="n">
        <v>169.55</v>
      </c>
      <c r="G445" s="20" t="n">
        <v>27.34</v>
      </c>
      <c r="H445" s="20" t="str">
        <f>TRUNC(G445 * (1 + 29.07 / 100), 2)</f>
      </c>
      <c r="I445" s="20" t="str">
        <f>TRUNC(F445 * h445, 2)</f>
      </c>
      <c r="J445" s="21" t="str">
        <f>i445 / 3372490.28</f>
      </c>
    </row>
    <row customHeight="1" ht="39" r="446">
      <c r="A446" s="17" t="inlineStr">
        <is>
          <t> 14.5 </t>
        </is>
      </c>
      <c r="B446" s="19" t="inlineStr">
        <is>
          <t> ITA0047 </t>
        </is>
      </c>
      <c r="C446" s="17" t="inlineStr">
        <is>
          <t>Próprio</t>
        </is>
      </c>
      <c r="D446" s="17" t="inlineStr">
        <is>
          <t>REVESTIMENTO CERÂMICO PARA PAREDES DRYWAL COM PLACAS TIPO ESMALTADA EXTRA  DE DIMENSÕES 33X45 CM APLICADAS NA ALTURA INTEIRA DAS PAREDES.</t>
        </is>
      </c>
      <c r="E446" s="18" t="inlineStr">
        <is>
          <t>m²</t>
        </is>
      </c>
      <c r="F446" s="19" t="n">
        <v>118.8</v>
      </c>
      <c r="G446" s="20" t="n">
        <v>76.92</v>
      </c>
      <c r="H446" s="20" t="str">
        <f>TRUNC(G446 * (1 + 29.07 / 100), 2)</f>
      </c>
      <c r="I446" s="20" t="str">
        <f>TRUNC(F446 * h446, 2)</f>
      </c>
      <c r="J446" s="21" t="str">
        <f>i446 / 3372490.28</f>
      </c>
    </row>
    <row customHeight="1" ht="39" r="447">
      <c r="A447" s="17" t="inlineStr">
        <is>
          <t> 14.6 </t>
        </is>
      </c>
      <c r="B447" s="19" t="inlineStr">
        <is>
          <t> CM0271 </t>
        </is>
      </c>
      <c r="C447" s="17" t="inlineStr">
        <is>
          <t>Próprio</t>
        </is>
      </c>
      <c r="D447" s="17" t="inlineStr">
        <is>
          <t>PVT 01 (SINALIZAÇÃO VISUAL EM PLACA DE PVC COM PICTOGRAMA, NAS DIMENSÕES 20X20 CM, A SER FIXADO NA ESQUADRIA COM ADESIVO AUTOCOLANTE).</t>
        </is>
      </c>
      <c r="E447" s="18" t="inlineStr">
        <is>
          <t>UND</t>
        </is>
      </c>
      <c r="F447" s="19" t="n">
        <v>25.0</v>
      </c>
      <c r="G447" s="20" t="n">
        <v>35.04</v>
      </c>
      <c r="H447" s="20" t="str">
        <f>TRUNC(G447 * (1 + 29.07 / 100), 2)</f>
      </c>
      <c r="I447" s="20" t="str">
        <f>TRUNC(F447 * h447, 2)</f>
      </c>
      <c r="J447" s="21" t="str">
        <f>i447 / 3372490.28</f>
      </c>
    </row>
    <row customHeight="1" ht="52" r="448">
      <c r="A448" s="17" t="inlineStr">
        <is>
          <t> 14.7 </t>
        </is>
      </c>
      <c r="B448" s="19" t="inlineStr">
        <is>
          <t> CM0272 </t>
        </is>
      </c>
      <c r="C448" s="17" t="inlineStr">
        <is>
          <t>Próprio</t>
        </is>
      </c>
      <c r="D448" s="17" t="inlineStr">
        <is>
          <t>PVT 02 (SINALIZAÇÃO VISUAL E TATIL EM PLACA DE PVC COM PICTOGRAMA/TEXTO EM CARACTERES E EM BRAILE, NAS DIMENSÕES 20X8 CM, A SER FIXADO NA PAREDE COM ADESIVO AUTOCOLANTE).</t>
        </is>
      </c>
      <c r="E448" s="18" t="inlineStr">
        <is>
          <t>UND</t>
        </is>
      </c>
      <c r="F448" s="19" t="n">
        <v>31.0</v>
      </c>
      <c r="G448" s="20" t="n">
        <v>35.04</v>
      </c>
      <c r="H448" s="20" t="str">
        <f>TRUNC(G448 * (1 + 29.07 / 100), 2)</f>
      </c>
      <c r="I448" s="20" t="str">
        <f>TRUNC(F448 * h448, 2)</f>
      </c>
      <c r="J448" s="21" t="str">
        <f>i448 / 3372490.28</f>
      </c>
    </row>
    <row customHeight="1" ht="24" r="449">
      <c r="A449" s="9" t="inlineStr">
        <is>
          <t> 15 </t>
        </is>
      </c>
      <c r="B449" s="9"/>
      <c r="C449" s="9"/>
      <c r="D449" s="9" t="inlineStr">
        <is>
          <t>IMPERMEABILIZAÇÃO</t>
        </is>
      </c>
      <c r="E449" s="9"/>
      <c r="F449" s="11"/>
      <c r="G449" s="9"/>
      <c r="H449" s="9"/>
      <c r="I449" s="12" t="n">
        <v>58167.96</v>
      </c>
      <c r="J449" s="13" t="str">
        <f>i449 / 3372490.28</f>
      </c>
    </row>
    <row customHeight="1" ht="39" r="450">
      <c r="A450" s="17" t="inlineStr">
        <is>
          <t> 15.1 </t>
        </is>
      </c>
      <c r="B450" s="19" t="inlineStr">
        <is>
          <t> 98546 </t>
        </is>
      </c>
      <c r="C450" s="17" t="inlineStr">
        <is>
          <t>SINAPI</t>
        </is>
      </c>
      <c r="D450" s="17" t="inlineStr">
        <is>
          <t>IMPERMEABILIZAÇÃO DE SUPERFÍCIE COM MANTA ASFÁLTICA, UMA CAMADA, INCLUSIVE APLICAÇÃO DE PRIMER ASFÁLTICO, E=4MM. AF_09/2023</t>
        </is>
      </c>
      <c r="E450" s="18" t="inlineStr">
        <is>
          <t>m²</t>
        </is>
      </c>
      <c r="F450" s="19" t="n">
        <v>206.36</v>
      </c>
      <c r="G450" s="20" t="n">
        <v>124.0</v>
      </c>
      <c r="H450" s="20" t="str">
        <f>TRUNC(G450 * (1 + 29.07 / 100), 2)</f>
      </c>
      <c r="I450" s="20" t="str">
        <f>TRUNC(F450 * h450, 2)</f>
      </c>
      <c r="J450" s="21" t="str">
        <f>i450 / 3372490.28</f>
      </c>
    </row>
    <row customHeight="1" ht="39" r="451">
      <c r="A451" s="17" t="inlineStr">
        <is>
          <t> 15.2 </t>
        </is>
      </c>
      <c r="B451" s="19" t="inlineStr">
        <is>
          <t> 98567 </t>
        </is>
      </c>
      <c r="C451" s="17" t="inlineStr">
        <is>
          <t>SINAPI</t>
        </is>
      </c>
      <c r="D451" s="17" t="inlineStr">
        <is>
          <t>PROTEÇÃO MECÂNICA DE SUPERFICIE HORIZONTAL COM ARGAMASSA DE CIMENTO E AREIA, TRAÇO 1:3, E=4CM. AF_09/2023</t>
        </is>
      </c>
      <c r="E451" s="18" t="inlineStr">
        <is>
          <t>m²</t>
        </is>
      </c>
      <c r="F451" s="19" t="n">
        <v>72.5</v>
      </c>
      <c r="G451" s="20" t="n">
        <v>70.06</v>
      </c>
      <c r="H451" s="20" t="str">
        <f>TRUNC(G451 * (1 + 29.07 / 100), 2)</f>
      </c>
      <c r="I451" s="20" t="str">
        <f>TRUNC(F451 * h451, 2)</f>
      </c>
      <c r="J451" s="21" t="str">
        <f>i451 / 3372490.28</f>
      </c>
    </row>
    <row customHeight="1" ht="39" r="452">
      <c r="A452" s="17" t="inlineStr">
        <is>
          <t> 15.3 </t>
        </is>
      </c>
      <c r="B452" s="19" t="inlineStr">
        <is>
          <t> 98564 </t>
        </is>
      </c>
      <c r="C452" s="17" t="inlineStr">
        <is>
          <t>SINAPI</t>
        </is>
      </c>
      <c r="D452" s="17" t="inlineStr">
        <is>
          <t>PROTEÇÃO MECÂNICA DE SUPERFÍCIE VERTICAL COM ARGAMASSA DE CIMENTO E AREIA, TRAÇO 1:3, E=2CM. AF_09/2023</t>
        </is>
      </c>
      <c r="E452" s="18" t="inlineStr">
        <is>
          <t>m²</t>
        </is>
      </c>
      <c r="F452" s="19" t="n">
        <v>133.86</v>
      </c>
      <c r="G452" s="20" t="n">
        <v>52.29</v>
      </c>
      <c r="H452" s="20" t="str">
        <f>TRUNC(G452 * (1 + 29.07 / 100), 2)</f>
      </c>
      <c r="I452" s="20" t="str">
        <f>TRUNC(F452 * h452, 2)</f>
      </c>
      <c r="J452" s="21" t="str">
        <f>i452 / 3372490.28</f>
      </c>
    </row>
    <row customHeight="1" ht="52" r="453">
      <c r="A453" s="17" t="inlineStr">
        <is>
          <t> 15.4 </t>
        </is>
      </c>
      <c r="B453" s="19" t="inlineStr">
        <is>
          <t> 87755 </t>
        </is>
      </c>
      <c r="C453" s="17" t="inlineStr">
        <is>
          <t>SINAPI</t>
        </is>
      </c>
      <c r="D453" s="17" t="inlineStr">
        <is>
          <t>CONTRAPISO EM ARGAMASSA TRAÇO 1:4 (CIMENTO E AREIA), PREPARO MECÂNICO COM BETONEIRA 400 L, APLICADO EM ÁREAS MOLHADAS SOBRE IMPERMEABILIZAÇÃO, ACABAMENTO NÃO REFORÇADO, ESPESSURA 3CM. AF_07/2021</t>
        </is>
      </c>
      <c r="E453" s="18" t="inlineStr">
        <is>
          <t>m²</t>
        </is>
      </c>
      <c r="F453" s="19" t="n">
        <v>72.5</v>
      </c>
      <c r="G453" s="20" t="n">
        <v>53.33</v>
      </c>
      <c r="H453" s="20" t="str">
        <f>TRUNC(G453 * (1 + 29.07 / 100), 2)</f>
      </c>
      <c r="I453" s="20" t="str">
        <f>TRUNC(F453 * h453, 2)</f>
      </c>
      <c r="J453" s="21" t="str">
        <f>i453 / 3372490.28</f>
      </c>
    </row>
    <row customHeight="1" ht="39" r="454">
      <c r="A454" s="17" t="inlineStr">
        <is>
          <t> 15.5 </t>
        </is>
      </c>
      <c r="B454" s="19" t="inlineStr">
        <is>
          <t> 98556 </t>
        </is>
      </c>
      <c r="C454" s="17" t="inlineStr">
        <is>
          <t>SINAPI</t>
        </is>
      </c>
      <c r="D454" s="17" t="inlineStr">
        <is>
          <t>IMPERMEABILIZIMPERMEABILIZAÇÃO DE SUPERFÍCIE COM ARGAMASSA POLIMÉRICA / MEMBRANA ACRÍLICA, 4 DEMÃOS, REFORÇADA COM VÉU DE POLIÉSTER (MAV). AF_09/2023</t>
        </is>
      </c>
      <c r="E454" s="18" t="inlineStr">
        <is>
          <t>m²</t>
        </is>
      </c>
      <c r="F454" s="19" t="n">
        <v>58.8</v>
      </c>
      <c r="G454" s="20" t="n">
        <v>58.81</v>
      </c>
      <c r="H454" s="20" t="str">
        <f>TRUNC(G454 * (1 + 29.07 / 100), 2)</f>
      </c>
      <c r="I454" s="20" t="str">
        <f>TRUNC(F454 * h454, 2)</f>
      </c>
      <c r="J454" s="21" t="str">
        <f>i454 / 3372490.28</f>
      </c>
    </row>
    <row customHeight="1" ht="39" r="455">
      <c r="A455" s="17" t="inlineStr">
        <is>
          <t> 15.6 </t>
        </is>
      </c>
      <c r="B455" s="19" t="inlineStr">
        <is>
          <t> 98558 </t>
        </is>
      </c>
      <c r="C455" s="17" t="inlineStr">
        <is>
          <t>SINAPI</t>
        </is>
      </c>
      <c r="D455" s="17" t="inlineStr">
        <is>
          <t>TRATAMENTO DE RALO OU PONTO EMERGENTE COM ARGAMASSA POLIMÉRICA / MEMBRANA ACRÍLICA REFORÇADO COM TELA DE POLIÉSTER (MAV). AF_09/2023</t>
        </is>
      </c>
      <c r="E455" s="18" t="inlineStr">
        <is>
          <t>UN</t>
        </is>
      </c>
      <c r="F455" s="19" t="n">
        <v>8.0</v>
      </c>
      <c r="G455" s="20" t="n">
        <v>9.63</v>
      </c>
      <c r="H455" s="20" t="str">
        <f>TRUNC(G455 * (1 + 29.07 / 100), 2)</f>
      </c>
      <c r="I455" s="20" t="str">
        <f>TRUNC(F455 * h455, 2)</f>
      </c>
      <c r="J455" s="21" t="str">
        <f>i455 / 3372490.28</f>
      </c>
    </row>
    <row customHeight="1" ht="24" r="456">
      <c r="A456" s="9" t="inlineStr">
        <is>
          <t> 16 </t>
        </is>
      </c>
      <c r="B456" s="9"/>
      <c r="C456" s="9"/>
      <c r="D456" s="9" t="inlineStr">
        <is>
          <t>COBERTURA</t>
        </is>
      </c>
      <c r="E456" s="9"/>
      <c r="F456" s="11"/>
      <c r="G456" s="9"/>
      <c r="H456" s="9"/>
      <c r="I456" s="12" t="n">
        <v>157874.63</v>
      </c>
      <c r="J456" s="13" t="str">
        <f>i456 / 3372490.28</f>
      </c>
    </row>
    <row customHeight="1" ht="52" r="457">
      <c r="A457" s="17" t="inlineStr">
        <is>
          <t> 16.1 </t>
        </is>
      </c>
      <c r="B457" s="19" t="inlineStr">
        <is>
          <t> RC0159 </t>
        </is>
      </c>
      <c r="C457" s="17" t="inlineStr">
        <is>
          <t>Próprio</t>
        </is>
      </c>
      <c r="D457" s="17" t="inlineStr">
        <is>
          <t>TELHAMENTO COM TELHA ONDULADA DE FIBROCIMENTO E = 8 MM, COM RECOBRIMENTO LATERAL DE 1 1/4 DE ONDA PARA TELHADO COM INCLINAÇÃO MÁXIMA DE 10°, COM ATÉ 2 ÁGUAS, INCLUSO IÇAMENTO. AF_07/2019</t>
        </is>
      </c>
      <c r="E457" s="18" t="inlineStr">
        <is>
          <t>m²</t>
        </is>
      </c>
      <c r="F457" s="19" t="n">
        <v>646.86</v>
      </c>
      <c r="G457" s="20" t="n">
        <v>80.1</v>
      </c>
      <c r="H457" s="20" t="str">
        <f>TRUNC(G457 * (1 + 29.07 / 100), 2)</f>
      </c>
      <c r="I457" s="20" t="str">
        <f>TRUNC(F457 * h457, 2)</f>
      </c>
      <c r="J457" s="21" t="str">
        <f>i457 / 3372490.28</f>
      </c>
    </row>
    <row customHeight="1" ht="52" r="458">
      <c r="A458" s="17" t="inlineStr">
        <is>
          <t> 16.2 </t>
        </is>
      </c>
      <c r="B458" s="19" t="inlineStr">
        <is>
          <t> 92543 </t>
        </is>
      </c>
      <c r="C458" s="17" t="inlineStr">
        <is>
          <t>SINAPI</t>
        </is>
      </c>
      <c r="D458" s="17" t="inlineStr">
        <is>
          <t>TRAMA DE MADEIRA COMPOSTA POR TERÇAS PARA TELHADOS DE ATÉ 2 ÁGUAS PARA TELHA ONDULADA DE FIBROCIMENTO, METÁLICA, PLÁSTICA OU TERMOACÚSTICA, INCLUSO TRANSPORTE VERTICAL. AF_07/2019</t>
        </is>
      </c>
      <c r="E458" s="18" t="inlineStr">
        <is>
          <t>m²</t>
        </is>
      </c>
      <c r="F458" s="19" t="n">
        <v>646.86</v>
      </c>
      <c r="G458" s="20" t="n">
        <v>23.93</v>
      </c>
      <c r="H458" s="20" t="str">
        <f>TRUNC(G458 * (1 + 29.07 / 100), 2)</f>
      </c>
      <c r="I458" s="20" t="str">
        <f>TRUNC(F458 * h458, 2)</f>
      </c>
      <c r="J458" s="21" t="str">
        <f>i458 / 3372490.28</f>
      </c>
    </row>
    <row customHeight="1" ht="26" r="459">
      <c r="A459" s="17" t="inlineStr">
        <is>
          <t> 16.3 </t>
        </is>
      </c>
      <c r="B459" s="19" t="inlineStr">
        <is>
          <t> ITA0010 </t>
        </is>
      </c>
      <c r="C459" s="17" t="inlineStr">
        <is>
          <t>Próprio</t>
        </is>
      </c>
      <c r="D459" s="17" t="inlineStr">
        <is>
          <t>TELHAMENTO COM TELHA TRANSLÚCIDA EM FIBRA DE VIDRO,0,50 X 0,19M</t>
        </is>
      </c>
      <c r="E459" s="18" t="inlineStr">
        <is>
          <t>m²</t>
        </is>
      </c>
      <c r="F459" s="19" t="n">
        <v>73.67</v>
      </c>
      <c r="G459" s="20" t="n">
        <v>107.98</v>
      </c>
      <c r="H459" s="20" t="str">
        <f>TRUNC(G459 * (1 + 29.07 / 100), 2)</f>
      </c>
      <c r="I459" s="20" t="str">
        <f>TRUNC(F459 * h459, 2)</f>
      </c>
      <c r="J459" s="21" t="str">
        <f>i459 / 3372490.28</f>
      </c>
    </row>
    <row customHeight="1" ht="26" r="460">
      <c r="A460" s="17" t="inlineStr">
        <is>
          <t> 16.4 </t>
        </is>
      </c>
      <c r="B460" s="19" t="inlineStr">
        <is>
          <t> IP0023 </t>
        </is>
      </c>
      <c r="C460" s="17" t="inlineStr">
        <is>
          <t>Próprio</t>
        </is>
      </c>
      <c r="D460" s="17" t="inlineStr">
        <is>
          <t>CONFECÇÃO DE PILARES EM ALVENARIA DE TIJOLO MACIÇO, 0,30 X 0,30 M</t>
        </is>
      </c>
      <c r="E460" s="18" t="inlineStr">
        <is>
          <t>M</t>
        </is>
      </c>
      <c r="F460" s="19" t="n">
        <v>108.0</v>
      </c>
      <c r="G460" s="20" t="n">
        <v>133.09</v>
      </c>
      <c r="H460" s="20" t="str">
        <f>TRUNC(G460 * (1 + 29.07 / 100), 2)</f>
      </c>
      <c r="I460" s="20" t="str">
        <f>TRUNC(F460 * h460, 2)</f>
      </c>
      <c r="J460" s="21" t="str">
        <f>i460 / 3372490.28</f>
      </c>
    </row>
    <row customHeight="1" ht="24" r="461">
      <c r="A461" s="17" t="inlineStr">
        <is>
          <t> 16.5 </t>
        </is>
      </c>
      <c r="B461" s="19" t="inlineStr">
        <is>
          <t> ITA0011 </t>
        </is>
      </c>
      <c r="C461" s="17" t="inlineStr">
        <is>
          <t>Próprio</t>
        </is>
      </c>
      <c r="D461" s="17" t="inlineStr">
        <is>
          <t>RUFO DE CONCRETO ARMADO FCK=20MPA L=40CM E H=7CM</t>
        </is>
      </c>
      <c r="E461" s="18" t="inlineStr">
        <is>
          <t>m</t>
        </is>
      </c>
      <c r="F461" s="19" t="n">
        <v>48.8</v>
      </c>
      <c r="G461" s="20" t="n">
        <v>58.69</v>
      </c>
      <c r="H461" s="20" t="str">
        <f>TRUNC(G461 * (1 + 29.07 / 100), 2)</f>
      </c>
      <c r="I461" s="20" t="str">
        <f>TRUNC(F461 * h461, 2)</f>
      </c>
      <c r="J461" s="21" t="str">
        <f>i461 / 3372490.28</f>
      </c>
    </row>
    <row customHeight="1" ht="39" r="462">
      <c r="A462" s="17" t="inlineStr">
        <is>
          <t> 16.6 </t>
        </is>
      </c>
      <c r="B462" s="19" t="inlineStr">
        <is>
          <t> 94223 </t>
        </is>
      </c>
      <c r="C462" s="17" t="inlineStr">
        <is>
          <t>SINAPI</t>
        </is>
      </c>
      <c r="D462" s="17" t="inlineStr">
        <is>
          <t>CUMEEIRA PARA TELHA DE FIBROCIMENTO ONDULADA E = 6 MM, INCLUSO ACESSÓRIOS DE FIXAÇÃO E IÇAMENTO. AF_07/2019</t>
        </is>
      </c>
      <c r="E462" s="18" t="inlineStr">
        <is>
          <t>M</t>
        </is>
      </c>
      <c r="F462" s="19" t="n">
        <v>99.2</v>
      </c>
      <c r="G462" s="20" t="n">
        <v>83.35</v>
      </c>
      <c r="H462" s="20" t="str">
        <f>TRUNC(G462 * (1 + 29.07 / 100), 2)</f>
      </c>
      <c r="I462" s="20" t="str">
        <f>TRUNC(F462 * h462, 2)</f>
      </c>
      <c r="J462" s="21" t="str">
        <f>i462 / 3372490.28</f>
      </c>
    </row>
    <row customHeight="1" ht="39" r="463">
      <c r="A463" s="17" t="inlineStr">
        <is>
          <t> 16.7 </t>
        </is>
      </c>
      <c r="B463" s="19" t="inlineStr">
        <is>
          <t> 96114 </t>
        </is>
      </c>
      <c r="C463" s="17" t="inlineStr">
        <is>
          <t>SINAPI</t>
        </is>
      </c>
      <c r="D463" s="17" t="inlineStr">
        <is>
          <t>FORRO EM DRYWALL, PARA AMBIENTES COMERCIAIS, INCLUSIVE ESTRUTURA BIRECIONAL DE FIXAÇÃO. AF_08/2023_PS</t>
        </is>
      </c>
      <c r="E463" s="18" t="inlineStr">
        <is>
          <t>m²</t>
        </is>
      </c>
      <c r="F463" s="19" t="n">
        <v>153.46</v>
      </c>
      <c r="G463" s="20" t="n">
        <v>79.7</v>
      </c>
      <c r="H463" s="20" t="str">
        <f>TRUNC(G463 * (1 + 29.07 / 100), 2)</f>
      </c>
      <c r="I463" s="20" t="str">
        <f>TRUNC(F463 * h463, 2)</f>
      </c>
      <c r="J463" s="21" t="str">
        <f>i463 / 3372490.28</f>
      </c>
    </row>
    <row customHeight="1" ht="78" r="464">
      <c r="A464" s="17" t="inlineStr">
        <is>
          <t> 16.8 </t>
        </is>
      </c>
      <c r="B464" s="19" t="inlineStr">
        <is>
          <t> ITA0066 </t>
        </is>
      </c>
      <c r="C464" s="17" t="inlineStr">
        <is>
          <t>Próprio</t>
        </is>
      </c>
      <c r="D464" s="17" t="inlineStr">
        <is>
          <t>ESCADA MARINHEIRO COM GUARDA CORPO, L= 45 CM, EXECUTADA EM BARRAS CHATA GALVANIZADA 1 1/4" X 5/16", E GUARDA CORPO D= 65 CM EM BARRA CHATA GALV. D= 1" X 1/8", SENDO DEGRAUS EM BARRA RED. D= 5/8", ESPAÇADOS DE 27,5 CM, INCLUSIVE LIXAMENTO E PINTURA, FORNECIMENTO E INSTALAÇÃO</t>
        </is>
      </c>
      <c r="E464" s="18" t="inlineStr">
        <is>
          <t>M</t>
        </is>
      </c>
      <c r="F464" s="19" t="n">
        <v>4.35</v>
      </c>
      <c r="G464" s="20" t="n">
        <v>2147.46</v>
      </c>
      <c r="H464" s="20" t="str">
        <f>TRUNC(G464 * (1 + 29.07 / 100), 2)</f>
      </c>
      <c r="I464" s="20" t="str">
        <f>TRUNC(F464 * h464, 2)</f>
      </c>
      <c r="J464" s="21" t="str">
        <f>i464 / 3372490.28</f>
      </c>
    </row>
    <row customHeight="1" ht="24" r="465">
      <c r="A465" s="9" t="inlineStr">
        <is>
          <t> 17 </t>
        </is>
      </c>
      <c r="B465" s="9"/>
      <c r="C465" s="9"/>
      <c r="D465" s="9" t="inlineStr">
        <is>
          <t>PINTURA</t>
        </is>
      </c>
      <c r="E465" s="9"/>
      <c r="F465" s="11"/>
      <c r="G465" s="9"/>
      <c r="H465" s="9"/>
      <c r="I465" s="12" t="n">
        <v>203415.79</v>
      </c>
      <c r="J465" s="13" t="str">
        <f>i465 / 3372490.28</f>
      </c>
    </row>
    <row customHeight="1" ht="39" r="466">
      <c r="A466" s="17" t="inlineStr">
        <is>
          <t> 17.1 </t>
        </is>
      </c>
      <c r="B466" s="19" t="inlineStr">
        <is>
          <t> 88411 </t>
        </is>
      </c>
      <c r="C466" s="17" t="inlineStr">
        <is>
          <t>SINAPI</t>
        </is>
      </c>
      <c r="D466" s="17" t="inlineStr">
        <is>
          <t>APLICAÇÃO MANUAL DE FUNDO SELADOR ACRÍLICO EM PANOS COM PRESENÇA DE VÃOS DE EDIFÍCIOS DE MÚLTIPLOS PAVIMENTOS. AF_03/2024</t>
        </is>
      </c>
      <c r="E466" s="18" t="inlineStr">
        <is>
          <t>m²</t>
        </is>
      </c>
      <c r="F466" s="19" t="n">
        <v>2633.34</v>
      </c>
      <c r="G466" s="20" t="n">
        <v>4.44</v>
      </c>
      <c r="H466" s="20" t="str">
        <f>TRUNC(G466 * (1 + 29.07 / 100), 2)</f>
      </c>
      <c r="I466" s="20" t="str">
        <f>TRUNC(F466 * h466, 2)</f>
      </c>
      <c r="J466" s="21" t="str">
        <f>i466 / 3372490.28</f>
      </c>
    </row>
    <row customHeight="1" ht="26" r="467">
      <c r="A467" s="17" t="inlineStr">
        <is>
          <t> 17.2 </t>
        </is>
      </c>
      <c r="B467" s="19" t="inlineStr">
        <is>
          <t> 88497 </t>
        </is>
      </c>
      <c r="C467" s="17" t="inlineStr">
        <is>
          <t>SINAPI</t>
        </is>
      </c>
      <c r="D467" s="17" t="inlineStr">
        <is>
          <t>EMASSAMENTO COM MASSA LÁTEX, APLICAÇÃO EM PAREDE, DUAS DEMÃOS, LIXAMENTO MANUAL. AF_04/2023</t>
        </is>
      </c>
      <c r="E467" s="18" t="inlineStr">
        <is>
          <t>m²</t>
        </is>
      </c>
      <c r="F467" s="19" t="n">
        <v>2633.34</v>
      </c>
      <c r="G467" s="20" t="n">
        <v>17.8</v>
      </c>
      <c r="H467" s="20" t="str">
        <f>TRUNC(G467 * (1 + 29.07 / 100), 2)</f>
      </c>
      <c r="I467" s="20" t="str">
        <f>TRUNC(F467 * h467, 2)</f>
      </c>
      <c r="J467" s="21" t="str">
        <f>i467 / 3372490.28</f>
      </c>
    </row>
    <row customHeight="1" ht="26" r="468">
      <c r="A468" s="17" t="inlineStr">
        <is>
          <t> 17.3 </t>
        </is>
      </c>
      <c r="B468" s="19" t="inlineStr">
        <is>
          <t> 88489 </t>
        </is>
      </c>
      <c r="C468" s="17" t="inlineStr">
        <is>
          <t>SINAPI</t>
        </is>
      </c>
      <c r="D468" s="17" t="inlineStr">
        <is>
          <t>PINTURA LÁTEX ACRÍLICA PREMIUM, APLICAÇÃO MANUAL EM PAREDES, DUAS DEMÃOS. AF_04/2023</t>
        </is>
      </c>
      <c r="E468" s="18" t="inlineStr">
        <is>
          <t>m²</t>
        </is>
      </c>
      <c r="F468" s="19" t="n">
        <v>2633.34</v>
      </c>
      <c r="G468" s="20" t="n">
        <v>12.89</v>
      </c>
      <c r="H468" s="20" t="str">
        <f>TRUNC(G468 * (1 + 29.07 / 100), 2)</f>
      </c>
      <c r="I468" s="20" t="str">
        <f>TRUNC(F468 * h468, 2)</f>
      </c>
      <c r="J468" s="21" t="str">
        <f>i468 / 3372490.28</f>
      </c>
    </row>
    <row customHeight="1" ht="52" r="469">
      <c r="A469" s="17" t="inlineStr">
        <is>
          <t> 17.4 </t>
        </is>
      </c>
      <c r="B469" s="19" t="inlineStr">
        <is>
          <t> 88426 </t>
        </is>
      </c>
      <c r="C469" s="17" t="inlineStr">
        <is>
          <t>SINAPI</t>
        </is>
      </c>
      <c r="D469" s="17" t="inlineStr">
        <is>
          <t>APLICAÇÃO MANUAL DE PINTURA COM TINTA TEXTURIZADA ACRÍLICA EM PANOS CEGOS DE FACHADA (SEM PRESENÇA DE VÃOS) DE EDIFÍCIOS DE MÚLTIPLOS PAVIMENTOS, DUAS CORES. AF_03/2024</t>
        </is>
      </c>
      <c r="E469" s="18" t="inlineStr">
        <is>
          <t>m²</t>
        </is>
      </c>
      <c r="F469" s="19" t="n">
        <v>1902.44</v>
      </c>
      <c r="G469" s="20" t="n">
        <v>19.86</v>
      </c>
      <c r="H469" s="20" t="str">
        <f>TRUNC(G469 * (1 + 29.07 / 100), 2)</f>
      </c>
      <c r="I469" s="20" t="str">
        <f>TRUNC(F469 * h469, 2)</f>
      </c>
      <c r="J469" s="21" t="str">
        <f>i469 / 3372490.28</f>
      </c>
    </row>
    <row customHeight="1" ht="26" r="470">
      <c r="A470" s="17" t="inlineStr">
        <is>
          <t> 17.5 </t>
        </is>
      </c>
      <c r="B470" s="19" t="inlineStr">
        <is>
          <t> 88494 </t>
        </is>
      </c>
      <c r="C470" s="17" t="inlineStr">
        <is>
          <t>SINAPI</t>
        </is>
      </c>
      <c r="D470" s="17" t="inlineStr">
        <is>
          <t>EMASSAMENTO COM MASSA LÁTEX, APLICAÇÃO EM TETO, UMA DEMÃO, LIXAMENTO MANUAL. AF_04/2023</t>
        </is>
      </c>
      <c r="E470" s="18" t="inlineStr">
        <is>
          <t>m²</t>
        </is>
      </c>
      <c r="F470" s="19" t="n">
        <v>153.46</v>
      </c>
      <c r="G470" s="20" t="n">
        <v>21.28</v>
      </c>
      <c r="H470" s="20" t="str">
        <f>TRUNC(G470 * (1 + 29.07 / 100), 2)</f>
      </c>
      <c r="I470" s="20" t="str">
        <f>TRUNC(F470 * h470, 2)</f>
      </c>
      <c r="J470" s="21" t="str">
        <f>i470 / 3372490.28</f>
      </c>
    </row>
    <row customHeight="1" ht="26" r="471">
      <c r="A471" s="17" t="inlineStr">
        <is>
          <t> 17.6 </t>
        </is>
      </c>
      <c r="B471" s="19" t="inlineStr">
        <is>
          <t> 88488 </t>
        </is>
      </c>
      <c r="C471" s="17" t="inlineStr">
        <is>
          <t>SINAPI</t>
        </is>
      </c>
      <c r="D471" s="17" t="inlineStr">
        <is>
          <t>PINTURA LÁTEX ACRÍLICA PREMIUM, APLICAÇÃO MANUAL EM TETO, DUAS DEMÃOS. AF_04/2023</t>
        </is>
      </c>
      <c r="E471" s="18" t="inlineStr">
        <is>
          <t>m²</t>
        </is>
      </c>
      <c r="F471" s="19" t="n">
        <v>1574.91</v>
      </c>
      <c r="G471" s="20" t="n">
        <v>15.29</v>
      </c>
      <c r="H471" s="20" t="str">
        <f>TRUNC(G471 * (1 + 29.07 / 100), 2)</f>
      </c>
      <c r="I471" s="20" t="str">
        <f>TRUNC(F471 * h471, 2)</f>
      </c>
      <c r="J471" s="21" t="str">
        <f>i471 / 3372490.28</f>
      </c>
    </row>
    <row customHeight="1" ht="24" r="472">
      <c r="A472" s="9" t="inlineStr">
        <is>
          <t> 18 </t>
        </is>
      </c>
      <c r="B472" s="9"/>
      <c r="C472" s="9"/>
      <c r="D472" s="9" t="inlineStr">
        <is>
          <t>EQUIPAMENTOS</t>
        </is>
      </c>
      <c r="E472" s="9"/>
      <c r="F472" s="11"/>
      <c r="G472" s="9"/>
      <c r="H472" s="9"/>
      <c r="I472" s="12" t="n">
        <v>100736.67</v>
      </c>
      <c r="J472" s="13" t="str">
        <f>i472 / 3372490.28</f>
      </c>
    </row>
    <row customHeight="1" ht="24" r="473">
      <c r="A473" s="17" t="inlineStr">
        <is>
          <t> 18.1 </t>
        </is>
      </c>
      <c r="B473" s="19" t="inlineStr">
        <is>
          <t> ITA0020 </t>
        </is>
      </c>
      <c r="C473" s="17" t="inlineStr">
        <is>
          <t>Próprio</t>
        </is>
      </c>
      <c r="D473" s="17" t="inlineStr">
        <is>
          <t>FORNECIMENTO DE PLATAFORMA ELEVATORIO</t>
        </is>
      </c>
      <c r="E473" s="18" t="inlineStr">
        <is>
          <t>UND</t>
        </is>
      </c>
      <c r="F473" s="19" t="n">
        <v>1.0</v>
      </c>
      <c r="G473" s="20" t="n">
        <v>88350.0</v>
      </c>
      <c r="H473" s="20" t="str">
        <f>TRUNC(G473 * (1 + 14.02 / 100), 2) &amp;CHAR(10)&amp; "(14.02%)"</f>
      </c>
      <c r="I473" s="20" t="str">
        <f>TRUNC((F473 * 1 ) * TRUNC(g473 * (1 + 14.02 / 100), 2), 2)</f>
      </c>
      <c r="J473" s="21" t="str">
        <f>i473 / 3372490.28</f>
      </c>
    </row>
    <row customHeight="1" ht="24" r="474">
      <c r="A474" s="9" t="inlineStr">
        <is>
          <t> 19 </t>
        </is>
      </c>
      <c r="B474" s="9"/>
      <c r="C474" s="9"/>
      <c r="D474" s="9" t="inlineStr">
        <is>
          <t>AREA EXTERNA</t>
        </is>
      </c>
      <c r="E474" s="9"/>
      <c r="F474" s="11"/>
      <c r="G474" s="9"/>
      <c r="H474" s="9"/>
      <c r="I474" s="12" t="n">
        <v>241841.45</v>
      </c>
      <c r="J474" s="13" t="str">
        <f>i474 / 3372490.28</f>
      </c>
    </row>
    <row customHeight="1" ht="24" r="475">
      <c r="A475" s="9" t="inlineStr">
        <is>
          <t> 19.1 </t>
        </is>
      </c>
      <c r="B475" s="9"/>
      <c r="C475" s="9"/>
      <c r="D475" s="9" t="inlineStr">
        <is>
          <t>FECHAMENTO - DELIMITAÇÃO TERRENO</t>
        </is>
      </c>
      <c r="E475" s="9"/>
      <c r="F475" s="11"/>
      <c r="G475" s="9"/>
      <c r="H475" s="9"/>
      <c r="I475" s="12" t="n">
        <v>171776.58</v>
      </c>
      <c r="J475" s="13" t="str">
        <f>i475 / 3372490.28</f>
      </c>
    </row>
    <row customHeight="1" ht="52" r="476">
      <c r="A476" s="17" t="inlineStr">
        <is>
          <t> 19.1.1 </t>
        </is>
      </c>
      <c r="B476" s="19" t="inlineStr">
        <is>
          <t> ITA0028 </t>
        </is>
      </c>
      <c r="C476" s="17" t="inlineStr">
        <is>
          <t>Próprio</t>
        </is>
      </c>
      <c r="D476" s="17" t="inlineStr">
        <is>
          <t>GRADIL TIPO "NYLOFOR 3D", MALHA 20X5CM, Ø 5MM 250X243 CM, PINTURA BRANCA, VERDE E PRETA, BELGO OU SIMILAR, INCLUSIVE POSTES (SECÇÃO 60X40MM E H=2,00M) E ACESSÓRIOS</t>
        </is>
      </c>
      <c r="E476" s="18" t="inlineStr">
        <is>
          <t>m²</t>
        </is>
      </c>
      <c r="F476" s="19" t="n">
        <v>338.88</v>
      </c>
      <c r="G476" s="20" t="n">
        <v>205.13</v>
      </c>
      <c r="H476" s="20" t="str">
        <f>TRUNC(G476 * (1 + 29.07 / 100), 2)</f>
      </c>
      <c r="I476" s="20" t="str">
        <f>TRUNC(F476 * h476, 2)</f>
      </c>
      <c r="J476" s="21" t="str">
        <f>i476 / 3372490.28</f>
      </c>
    </row>
    <row customHeight="1" ht="24" r="477">
      <c r="A477" s="17" t="inlineStr">
        <is>
          <t> 19.1.2 </t>
        </is>
      </c>
      <c r="B477" s="19" t="inlineStr">
        <is>
          <t> ITA0050 </t>
        </is>
      </c>
      <c r="C477" s="17" t="inlineStr">
        <is>
          <t>Próprio</t>
        </is>
      </c>
      <c r="D477" s="17" t="inlineStr">
        <is>
          <t>PORTÃO DE ABRIR  GRADIL TIPO "NYLOFOR"</t>
        </is>
      </c>
      <c r="E477" s="18" t="inlineStr">
        <is>
          <t>m²</t>
        </is>
      </c>
      <c r="F477" s="19" t="n">
        <v>14.0</v>
      </c>
      <c r="G477" s="20" t="n">
        <v>835.33</v>
      </c>
      <c r="H477" s="20" t="str">
        <f>TRUNC(G477 * (1 + 29.07 / 100), 2)</f>
      </c>
      <c r="I477" s="20" t="str">
        <f>TRUNC(F477 * h477, 2)</f>
      </c>
      <c r="J477" s="21" t="str">
        <f>i477 / 3372490.28</f>
      </c>
    </row>
    <row customHeight="1" ht="24" r="478">
      <c r="A478" s="9" t="inlineStr">
        <is>
          <t> 19.1.3 </t>
        </is>
      </c>
      <c r="B478" s="9"/>
      <c r="C478" s="9"/>
      <c r="D478" s="9" t="inlineStr">
        <is>
          <t>MURO</t>
        </is>
      </c>
      <c r="E478" s="9"/>
      <c r="F478" s="11"/>
      <c r="G478" s="9"/>
      <c r="H478" s="9"/>
      <c r="I478" s="12" t="n">
        <v>66960.48</v>
      </c>
      <c r="J478" s="13" t="str">
        <f>i478 / 3372490.28</f>
      </c>
    </row>
    <row customHeight="1" ht="52" r="479">
      <c r="A479" s="17" t="inlineStr">
        <is>
          <t> 19.1.3.1 </t>
        </is>
      </c>
      <c r="B479" s="19" t="inlineStr">
        <is>
          <t> 103336 </t>
        </is>
      </c>
      <c r="C479" s="17" t="inlineStr">
        <is>
          <t>SINAPI</t>
        </is>
      </c>
      <c r="D479" s="17" t="inlineStr">
        <is>
          <t>ALVENARIA DE VEDAÇÃO DE BLOCOS  VAZADOS DE CONCRETO APARENTE DE 9X19X39 CM (ESPESSURA 9 CM) E ARGAMASSA DE ASSENTAMENTO COM PREPARO EM BETONEIRA. AF_12/2021</t>
        </is>
      </c>
      <c r="E479" s="18" t="inlineStr">
        <is>
          <t>m²</t>
        </is>
      </c>
      <c r="F479" s="19" t="n">
        <v>344.4</v>
      </c>
      <c r="G479" s="20" t="n">
        <v>77.34</v>
      </c>
      <c r="H479" s="20" t="str">
        <f>TRUNC(G479 * (1 + 29.07 / 100), 2)</f>
      </c>
      <c r="I479" s="20" t="str">
        <f>TRUNC(F479 * h479, 2)</f>
      </c>
      <c r="J479" s="21" t="str">
        <f>i479 / 3372490.28</f>
      </c>
    </row>
    <row customHeight="1" ht="39" r="480">
      <c r="A480" s="17" t="inlineStr">
        <is>
          <t> 19.1.3.2 </t>
        </is>
      </c>
      <c r="B480" s="19" t="inlineStr">
        <is>
          <t> 105034 </t>
        </is>
      </c>
      <c r="C480" s="17" t="inlineStr">
        <is>
          <t>SINAPI</t>
        </is>
      </c>
      <c r="D480" s="17" t="inlineStr">
        <is>
          <t>CINTA DE AMARRAÇÃO DE ALVENARIA MOLDADA IN LOCO COM UTILIZAÇÃO DE BLOCOS CANALETA, ESPESSURA DE *10* CM. AF_03/2024</t>
        </is>
      </c>
      <c r="E480" s="18" t="inlineStr">
        <is>
          <t>M</t>
        </is>
      </c>
      <c r="F480" s="19" t="n">
        <v>287.0</v>
      </c>
      <c r="G480" s="20" t="n">
        <v>44.43</v>
      </c>
      <c r="H480" s="20" t="str">
        <f>TRUNC(G480 * (1 + 29.07 / 100), 2)</f>
      </c>
      <c r="I480" s="20" t="str">
        <f>TRUNC(F480 * h480, 2)</f>
      </c>
      <c r="J480" s="21" t="str">
        <f>i480 / 3372490.28</f>
      </c>
    </row>
    <row customHeight="1" ht="39" r="481">
      <c r="A481" s="17" t="inlineStr">
        <is>
          <t> 19.1.3.3 </t>
        </is>
      </c>
      <c r="B481" s="19" t="inlineStr">
        <is>
          <t> 101173 </t>
        </is>
      </c>
      <c r="C481" s="17" t="inlineStr">
        <is>
          <t>SINAPI</t>
        </is>
      </c>
      <c r="D481" s="17" t="inlineStr">
        <is>
          <t>ESTACA BROCA DE CONCRETO, DIÂMETRO DE 20CM, ESCAVAÇÃO MANUAL COM TRADO CONCHA, COM ARMADURA DE ARRANQUE. AF_05/2020</t>
        </is>
      </c>
      <c r="E481" s="18" t="inlineStr">
        <is>
          <t>M</t>
        </is>
      </c>
      <c r="F481" s="19" t="n">
        <v>98.0</v>
      </c>
      <c r="G481" s="20" t="n">
        <v>61.33</v>
      </c>
      <c r="H481" s="20" t="str">
        <f>TRUNC(G481 * (1 + 29.07 / 100), 2)</f>
      </c>
      <c r="I481" s="20" t="str">
        <f>TRUNC(F481 * h481, 2)</f>
      </c>
      <c r="J481" s="21" t="str">
        <f>i481 / 3372490.28</f>
      </c>
    </row>
    <row customHeight="1" ht="26" r="482">
      <c r="A482" s="17" t="inlineStr">
        <is>
          <t> 19.1.3.4 </t>
        </is>
      </c>
      <c r="B482" s="19" t="inlineStr">
        <is>
          <t> ITA0025 </t>
        </is>
      </c>
      <c r="C482" s="17" t="inlineStr">
        <is>
          <t>Próprio</t>
        </is>
      </c>
      <c r="D482" s="17" t="inlineStr">
        <is>
          <t>PILAR DE AMARRAÇÃO DE ALVENARIA MOLDADA IN LOCO EM CONCRETO. AF_03/2016</t>
        </is>
      </c>
      <c r="E482" s="18" t="inlineStr">
        <is>
          <t>M</t>
        </is>
      </c>
      <c r="F482" s="19" t="n">
        <v>98.0</v>
      </c>
      <c r="G482" s="20" t="n">
        <v>66.17</v>
      </c>
      <c r="H482" s="20" t="str">
        <f>TRUNC(G482 * (1 + 29.07 / 100), 2)</f>
      </c>
      <c r="I482" s="20" t="str">
        <f>TRUNC(F482 * h482, 2)</f>
      </c>
      <c r="J482" s="21" t="str">
        <f>i482 / 3372490.28</f>
      </c>
    </row>
    <row customHeight="1" ht="24" r="483">
      <c r="A483" s="9" t="inlineStr">
        <is>
          <t> 19.2 </t>
        </is>
      </c>
      <c r="B483" s="9"/>
      <c r="C483" s="9"/>
      <c r="D483" s="9" t="inlineStr">
        <is>
          <t>ACESSO DE VEICULOS</t>
        </is>
      </c>
      <c r="E483" s="9"/>
      <c r="F483" s="11"/>
      <c r="G483" s="9"/>
      <c r="H483" s="9"/>
      <c r="I483" s="12" t="n">
        <v>24464.02</v>
      </c>
      <c r="J483" s="13" t="str">
        <f>i483 / 3372490.28</f>
      </c>
    </row>
    <row customHeight="1" ht="26" r="484">
      <c r="A484" s="17" t="inlineStr">
        <is>
          <t> 19.2.2 </t>
        </is>
      </c>
      <c r="B484" s="19" t="inlineStr">
        <is>
          <t> 100575 </t>
        </is>
      </c>
      <c r="C484" s="17" t="inlineStr">
        <is>
          <t>SINAPI</t>
        </is>
      </c>
      <c r="D484" s="17" t="inlineStr">
        <is>
          <t>REGULARIZAÇÃO DE SUPERFÍCIES COM MOTONIVELADORA. AF_11/2019</t>
        </is>
      </c>
      <c r="E484" s="18" t="inlineStr">
        <is>
          <t>m²</t>
        </is>
      </c>
      <c r="F484" s="19" t="n">
        <v>285.92</v>
      </c>
      <c r="G484" s="20" t="n">
        <v>0.17</v>
      </c>
      <c r="H484" s="20" t="str">
        <f>TRUNC(G484 * (1 + 29.07 / 100), 2)</f>
      </c>
      <c r="I484" s="20" t="str">
        <f>TRUNC(F484 * h484, 2)</f>
      </c>
      <c r="J484" s="21" t="str">
        <f>i484 / 3372490.28</f>
      </c>
    </row>
    <row customHeight="1" ht="26" r="485">
      <c r="A485" s="17" t="inlineStr">
        <is>
          <t> 19.2.3 </t>
        </is>
      </c>
      <c r="B485" s="19" t="inlineStr">
        <is>
          <t> 100576 </t>
        </is>
      </c>
      <c r="C485" s="17" t="inlineStr">
        <is>
          <t>SINAPI</t>
        </is>
      </c>
      <c r="D485" s="17" t="inlineStr">
        <is>
          <t>REGULARIZAÇÃO E COMPACTAÇÃO DE SUBLEITO DE SOLO  PREDOMINANTEMENTE ARGILOSO. AF_11/2019</t>
        </is>
      </c>
      <c r="E485" s="18" t="inlineStr">
        <is>
          <t>m²</t>
        </is>
      </c>
      <c r="F485" s="19" t="n">
        <v>160.89</v>
      </c>
      <c r="G485" s="20" t="n">
        <v>2.79</v>
      </c>
      <c r="H485" s="20" t="str">
        <f>TRUNC(G485 * (1 + 29.07 / 100), 2)</f>
      </c>
      <c r="I485" s="20" t="str">
        <f>TRUNC(F485 * h485, 2)</f>
      </c>
      <c r="J485" s="21" t="str">
        <f>i485 / 3372490.28</f>
      </c>
    </row>
    <row customHeight="1" ht="52" r="486">
      <c r="A486" s="17" t="inlineStr">
        <is>
          <t> 19.2.4 </t>
        </is>
      </c>
      <c r="B486" s="19" t="inlineStr">
        <is>
          <t> 94994 </t>
        </is>
      </c>
      <c r="C486" s="17" t="inlineStr">
        <is>
          <t>SINAPI</t>
        </is>
      </c>
      <c r="D486" s="17" t="inlineStr">
        <is>
          <t>EXECUÇÃO DE PASSEIO (CALÇADA) OU PISO DE CONCRETO COM CONCRETO MOLDADO IN LOCO, FEITO EM OBRA, ACABAMENTO CONVENCIONAL, ESPESSURA 8 CM, ARMADO. AF_08/2022</t>
        </is>
      </c>
      <c r="E486" s="18" t="inlineStr">
        <is>
          <t>m²</t>
        </is>
      </c>
      <c r="F486" s="19" t="n">
        <v>160.89</v>
      </c>
      <c r="G486" s="20" t="n">
        <v>92.62</v>
      </c>
      <c r="H486" s="20" t="str">
        <f>TRUNC(G486 * (1 + 29.07 / 100), 2)</f>
      </c>
      <c r="I486" s="20" t="str">
        <f>TRUNC(F486 * h486, 2)</f>
      </c>
      <c r="J486" s="21" t="str">
        <f>i486 / 3372490.28</f>
      </c>
    </row>
    <row customHeight="1" ht="52" r="487">
      <c r="A487" s="17" t="inlineStr">
        <is>
          <t> 19.2.5 </t>
        </is>
      </c>
      <c r="B487" s="19" t="inlineStr">
        <is>
          <t> 94273 </t>
        </is>
      </c>
      <c r="C487" s="17" t="inlineStr">
        <is>
          <t>SINAPI</t>
        </is>
      </c>
      <c r="D487" s="17" t="inlineStr">
        <is>
          <t>ASSENTAMENTO DE GUIA (MEIO-FIO) EM TRECHO RETO, CONFECCIONADA EM CONCRETO PRÉ-FABRICADO, DIMENSÕES 100X15X13X30 CM (COMPRIMENTO X BASE INFERIOR X BASE SUPERIOR X ALTURA). AF_01/2024</t>
        </is>
      </c>
      <c r="E487" s="18" t="inlineStr">
        <is>
          <t>M</t>
        </is>
      </c>
      <c r="F487" s="19" t="n">
        <v>22.0</v>
      </c>
      <c r="G487" s="20" t="n">
        <v>38.69</v>
      </c>
      <c r="H487" s="20" t="str">
        <f>TRUNC(G487 * (1 + 29.07 / 100), 2)</f>
      </c>
      <c r="I487" s="20" t="str">
        <f>TRUNC(F487 * h487, 2)</f>
      </c>
      <c r="J487" s="21" t="str">
        <f>i487 / 3372490.28</f>
      </c>
    </row>
    <row customHeight="1" ht="26" r="488">
      <c r="A488" s="17" t="inlineStr">
        <is>
          <t> 19.2.6 </t>
        </is>
      </c>
      <c r="B488" s="19" t="inlineStr">
        <is>
          <t> 73882/003 </t>
        </is>
      </c>
      <c r="C488" s="17" t="inlineStr">
        <is>
          <t>SINAPI</t>
        </is>
      </c>
      <c r="D488" s="17" t="inlineStr">
        <is>
          <t>CALHA EM CONCRETO SIMPLES, EM MEIA CANA DE CONCRETO, DIAMETRO 400 MM</t>
        </is>
      </c>
      <c r="E488" s="18" t="inlineStr">
        <is>
          <t>M</t>
        </is>
      </c>
      <c r="F488" s="19" t="n">
        <v>22.0</v>
      </c>
      <c r="G488" s="20" t="n">
        <v>62.69</v>
      </c>
      <c r="H488" s="20" t="str">
        <f>TRUNC(G488 * (1 + 29.07 / 100), 2)</f>
      </c>
      <c r="I488" s="20" t="str">
        <f>TRUNC(F488 * h488, 2)</f>
      </c>
      <c r="J488" s="21" t="str">
        <f>i488 / 3372490.28</f>
      </c>
    </row>
    <row customHeight="1" ht="39" r="489">
      <c r="A489" s="17" t="inlineStr">
        <is>
          <t> 19.2.7 </t>
        </is>
      </c>
      <c r="B489" s="19" t="inlineStr">
        <is>
          <t> 103003 </t>
        </is>
      </c>
      <c r="C489" s="17" t="inlineStr">
        <is>
          <t>SINAPI</t>
        </is>
      </c>
      <c r="D489" s="17" t="inlineStr">
        <is>
          <t>GRELHA DE FERRO FUNDIDO SIMPLES COM REQUADRO, 300 X 1000 MM, ASSENTADA COM ARGAMASSA 1 : 3 CIMENTO: AREIA - FORNECIMENTO E INSTALAÇÃO. AF_08/2021</t>
        </is>
      </c>
      <c r="E489" s="18" t="inlineStr">
        <is>
          <t>UN</t>
        </is>
      </c>
      <c r="F489" s="19" t="n">
        <v>3.0</v>
      </c>
      <c r="G489" s="20" t="n">
        <v>442.53</v>
      </c>
      <c r="H489" s="20" t="str">
        <f>TRUNC(G489 * (1 + 29.07 / 100), 2)</f>
      </c>
      <c r="I489" s="20" t="str">
        <f>TRUNC(F489 * h489, 2)</f>
      </c>
      <c r="J489" s="21" t="str">
        <f>i489 / 3372490.28</f>
      </c>
    </row>
    <row customHeight="1" ht="24" r="490">
      <c r="A490" s="9" t="inlineStr">
        <is>
          <t> 19.3 </t>
        </is>
      </c>
      <c r="B490" s="9"/>
      <c r="C490" s="9"/>
      <c r="D490" s="9" t="inlineStr">
        <is>
          <t>PASSEIOS</t>
        </is>
      </c>
      <c r="E490" s="9"/>
      <c r="F490" s="11"/>
      <c r="G490" s="9"/>
      <c r="H490" s="9"/>
      <c r="I490" s="12" t="n">
        <v>29459.36</v>
      </c>
      <c r="J490" s="13" t="str">
        <f>i490 / 3372490.28</f>
      </c>
    </row>
    <row customHeight="1" ht="26" r="491">
      <c r="A491" s="17" t="inlineStr">
        <is>
          <t> 19.3.1 </t>
        </is>
      </c>
      <c r="B491" s="19" t="inlineStr">
        <is>
          <t> 104738 </t>
        </is>
      </c>
      <c r="C491" s="17" t="inlineStr">
        <is>
          <t>SINAPI</t>
        </is>
      </c>
      <c r="D491" s="17" t="inlineStr">
        <is>
          <t>ATERRO MECANIZADO DE VALA COM MINICARREGADEIRA, COM SOLO ARGILO-ARENOSO. AF_08/2023</t>
        </is>
      </c>
      <c r="E491" s="18" t="inlineStr">
        <is>
          <t>m³</t>
        </is>
      </c>
      <c r="F491" s="19" t="n">
        <v>139.34</v>
      </c>
      <c r="G491" s="20" t="n">
        <v>81.81</v>
      </c>
      <c r="H491" s="20" t="str">
        <f>TRUNC(G491 * (1 + 29.07 / 100), 2)</f>
      </c>
      <c r="I491" s="20" t="str">
        <f>TRUNC(F491 * h491, 2)</f>
      </c>
      <c r="J491" s="21" t="str">
        <f>i491 / 3372490.28</f>
      </c>
    </row>
    <row customHeight="1" ht="26" r="492">
      <c r="A492" s="17" t="inlineStr">
        <is>
          <t> 19.3.2 </t>
        </is>
      </c>
      <c r="B492" s="19" t="inlineStr">
        <is>
          <t> 104658 </t>
        </is>
      </c>
      <c r="C492" s="17" t="inlineStr">
        <is>
          <t>SINAPI</t>
        </is>
      </c>
      <c r="D492" s="17" t="inlineStr">
        <is>
          <t>PISO PODOTÁTIL DE ALERTA OU DIRECIONAL, DE CONCRETO, ASSENTADO SOBRE ARGAMASSA. AF_03/2024</t>
        </is>
      </c>
      <c r="E492" s="18" t="inlineStr">
        <is>
          <t>m²</t>
        </is>
      </c>
      <c r="F492" s="19" t="n">
        <v>39.0</v>
      </c>
      <c r="G492" s="20" t="n">
        <v>183.21</v>
      </c>
      <c r="H492" s="20" t="str">
        <f>TRUNC(G492 * (1 + 29.07 / 100), 2)</f>
      </c>
      <c r="I492" s="20" t="str">
        <f>TRUNC(F492 * h492, 2)</f>
      </c>
      <c r="J492" s="21" t="str">
        <f>i492 / 3372490.28</f>
      </c>
    </row>
    <row customHeight="1" ht="26" r="493">
      <c r="A493" s="17" t="inlineStr">
        <is>
          <t> 19.3.2 </t>
        </is>
      </c>
      <c r="B493" s="19" t="inlineStr">
        <is>
          <t> 100576 </t>
        </is>
      </c>
      <c r="C493" s="17" t="inlineStr">
        <is>
          <t>SINAPI</t>
        </is>
      </c>
      <c r="D493" s="17" t="inlineStr">
        <is>
          <t>REGULARIZAÇÃO E COMPACTAÇÃO DE SUBLEITO DE SOLO  PREDOMINANTEMENTE ARGILOSO. AF_11/2019</t>
        </is>
      </c>
      <c r="E493" s="18" t="inlineStr">
        <is>
          <t>m²</t>
        </is>
      </c>
      <c r="F493" s="19" t="n">
        <v>179.34</v>
      </c>
      <c r="G493" s="20" t="n">
        <v>2.79</v>
      </c>
      <c r="H493" s="20" t="str">
        <f>TRUNC(G493 * (1 + 29.07 / 100), 2)</f>
      </c>
      <c r="I493" s="20" t="str">
        <f>TRUNC(F493 * h493, 2)</f>
      </c>
      <c r="J493" s="21" t="str">
        <f>i493 / 3372490.28</f>
      </c>
    </row>
    <row customHeight="1" ht="26" r="494">
      <c r="A494" s="17" t="inlineStr">
        <is>
          <t> 19.3.3 </t>
        </is>
      </c>
      <c r="B494" s="19" t="inlineStr">
        <is>
          <t> 102500 </t>
        </is>
      </c>
      <c r="C494" s="17" t="inlineStr">
        <is>
          <t>SINAPI</t>
        </is>
      </c>
      <c r="D494" s="17" t="inlineStr">
        <is>
          <t>PINTURA DE DEMARCAÇÃO DE VAGA COM TINTA ACRÍLICA, E = 10 CM, APLICAÇÃO MANUAL. AF_05/2021</t>
        </is>
      </c>
      <c r="E494" s="18" t="inlineStr">
        <is>
          <t>M</t>
        </is>
      </c>
      <c r="F494" s="19" t="n">
        <v>155.0</v>
      </c>
      <c r="G494" s="20" t="n">
        <v>4.47</v>
      </c>
      <c r="H494" s="20" t="str">
        <f>TRUNC(G494 * (1 + 29.07 / 100), 2)</f>
      </c>
      <c r="I494" s="20" t="str">
        <f>TRUNC(F494 * h494, 2)</f>
      </c>
      <c r="J494" s="21" t="str">
        <f>i494 / 3372490.28</f>
      </c>
    </row>
    <row customHeight="1" ht="39" r="495">
      <c r="A495" s="17" t="inlineStr">
        <is>
          <t> 19.3.4 </t>
        </is>
      </c>
      <c r="B495" s="19" t="inlineStr">
        <is>
          <t> 102513 </t>
        </is>
      </c>
      <c r="C495" s="17" t="inlineStr">
        <is>
          <t>SINAPI</t>
        </is>
      </c>
      <c r="D495" s="17" t="inlineStr">
        <is>
          <t>PINTURA DE SÍMBOLOS E TEXTOS COM TINTA ACRÍLICA, DEMARCAÇÃO COM FITA ADESIVA E APLICAÇÃO COM ROLO. AF_05/2021</t>
        </is>
      </c>
      <c r="E495" s="18" t="inlineStr">
        <is>
          <t>m²</t>
        </is>
      </c>
      <c r="F495" s="19" t="n">
        <v>10.8</v>
      </c>
      <c r="G495" s="20" t="n">
        <v>48.3</v>
      </c>
      <c r="H495" s="20" t="str">
        <f>TRUNC(G495 * (1 + 29.07 / 100), 2)</f>
      </c>
      <c r="I495" s="20" t="str">
        <f>TRUNC(F495 * h495, 2)</f>
      </c>
      <c r="J495" s="21" t="str">
        <f>i495 / 3372490.28</f>
      </c>
    </row>
    <row customHeight="1" ht="39" r="496">
      <c r="A496" s="17" t="inlineStr">
        <is>
          <t> 19.3.5 </t>
        </is>
      </c>
      <c r="B496" s="19" t="inlineStr">
        <is>
          <t> IP0157 </t>
        </is>
      </c>
      <c r="C496" s="17" t="inlineStr">
        <is>
          <t>Próprio</t>
        </is>
      </c>
      <c r="D496" s="17" t="inlineStr">
        <is>
          <t>PLACA EM ALUMÍNIO 50 x 70 cm PARA SINALIZAÇÃO DE VAGA PARA DEFICIENTE - "ESTACIONAMENTO RESERVADO", COM POSTE 2,10M – FORNECIMENTO E INSTALAÇÃO</t>
        </is>
      </c>
      <c r="E496" s="18" t="inlineStr">
        <is>
          <t>UND</t>
        </is>
      </c>
      <c r="F496" s="19" t="n">
        <v>1.0</v>
      </c>
      <c r="G496" s="20" t="n">
        <v>641.69</v>
      </c>
      <c r="H496" s="20" t="str">
        <f>TRUNC(G496 * (1 + 29.07 / 100), 2)</f>
      </c>
      <c r="I496" s="20" t="str">
        <f>TRUNC(F496 * h496, 2)</f>
      </c>
      <c r="J496" s="21" t="str">
        <f>i496 / 3372490.28</f>
      </c>
    </row>
    <row customHeight="1" ht="39" r="497">
      <c r="A497" s="17" t="inlineStr">
        <is>
          <t> 19.3.6 </t>
        </is>
      </c>
      <c r="B497" s="19" t="inlineStr">
        <is>
          <t> IP0158 </t>
        </is>
      </c>
      <c r="C497" s="17" t="inlineStr">
        <is>
          <t>Próprio</t>
        </is>
      </c>
      <c r="D497" s="17" t="inlineStr">
        <is>
          <t>PLACA EM ALUMÍNIO 50 x 70 cm PARA SINALIZAÇÃO DE VAGA PARA IDOSO - "ESTACIONAMENTO RESERVADO", COM POSTE 2,10M – FORNECIMENTO E INSTALAÇÃO</t>
        </is>
      </c>
      <c r="E497" s="18" t="inlineStr">
        <is>
          <t>UND</t>
        </is>
      </c>
      <c r="F497" s="19" t="n">
        <v>3.0</v>
      </c>
      <c r="G497" s="20" t="n">
        <v>641.67</v>
      </c>
      <c r="H497" s="20" t="str">
        <f>TRUNC(G497 * (1 + 29.07 / 100), 2)</f>
      </c>
      <c r="I497" s="20" t="str">
        <f>TRUNC(F497 * h497, 2)</f>
      </c>
      <c r="J497" s="21" t="str">
        <f>i497 / 3372490.28</f>
      </c>
    </row>
    <row customHeight="1" ht="24" r="498">
      <c r="A498" s="9" t="inlineStr">
        <is>
          <t> 19.4 </t>
        </is>
      </c>
      <c r="B498" s="9"/>
      <c r="C498" s="9"/>
      <c r="D498" s="9" t="inlineStr">
        <is>
          <t>LIMPEZA - REMOÇÃO DE VEGETAÇÃO</t>
        </is>
      </c>
      <c r="E498" s="9"/>
      <c r="F498" s="11"/>
      <c r="G498" s="9"/>
      <c r="H498" s="9"/>
      <c r="I498" s="12" t="n">
        <v>3489.79</v>
      </c>
      <c r="J498" s="13" t="str">
        <f>i498 / 3372490.28</f>
      </c>
    </row>
    <row customHeight="1" ht="26" r="499">
      <c r="A499" s="17" t="inlineStr">
        <is>
          <t> 19.4.1 </t>
        </is>
      </c>
      <c r="B499" s="19" t="inlineStr">
        <is>
          <t> 98524 </t>
        </is>
      </c>
      <c r="C499" s="17" t="inlineStr">
        <is>
          <t>SINAPI</t>
        </is>
      </c>
      <c r="D499" s="17" t="inlineStr">
        <is>
          <t>LIMPEZA MANUAL DE VEGETAÇÃO EM TERRENO COM ENXADA. AF_03/2024</t>
        </is>
      </c>
      <c r="E499" s="18" t="inlineStr">
        <is>
          <t>m²</t>
        </is>
      </c>
      <c r="F499" s="19" t="n">
        <v>112.0</v>
      </c>
      <c r="G499" s="20" t="n">
        <v>4.51</v>
      </c>
      <c r="H499" s="20" t="str">
        <f>TRUNC(G499 * (1 + 29.07 / 100), 2)</f>
      </c>
      <c r="I499" s="20" t="str">
        <f>TRUNC(F499 * h499, 2)</f>
      </c>
      <c r="J499" s="21" t="str">
        <f>i499 / 3372490.28</f>
      </c>
    </row>
    <row customHeight="1" ht="39" r="500">
      <c r="A500" s="17" t="inlineStr">
        <is>
          <t> 19.4.2 </t>
        </is>
      </c>
      <c r="B500" s="19" t="inlineStr">
        <is>
          <t> 98525 </t>
        </is>
      </c>
      <c r="C500" s="17" t="inlineStr">
        <is>
          <t>SINAPI</t>
        </is>
      </c>
      <c r="D500" s="17" t="inlineStr">
        <is>
          <t>LIMPEZA MECANIZADA DE CAMADA VEGETAL, VEGETAÇÃO E PEQUENAS ÁRVORES (DIÂMETRO DE TRONCO MENOR QUE 0,20 M), COM TRATOR DE ESTEIRAS. AF_03/2024</t>
        </is>
      </c>
      <c r="E500" s="18" t="inlineStr">
        <is>
          <t>m²</t>
        </is>
      </c>
      <c r="F500" s="19" t="n">
        <v>1663.0</v>
      </c>
      <c r="G500" s="20" t="n">
        <v>0.66</v>
      </c>
      <c r="H500" s="20" t="str">
        <f>TRUNC(G500 * (1 + 29.07 / 100), 2)</f>
      </c>
      <c r="I500" s="20" t="str">
        <f>TRUNC(F500 * h500, 2)</f>
      </c>
      <c r="J500" s="21" t="str">
        <f>i500 / 3372490.28</f>
      </c>
    </row>
    <row customHeight="1" ht="24" r="501">
      <c r="A501" s="17" t="inlineStr">
        <is>
          <t> 19.4.3 </t>
        </is>
      </c>
      <c r="B501" s="19" t="inlineStr">
        <is>
          <t> ITA0059 </t>
        </is>
      </c>
      <c r="C501" s="17" t="inlineStr">
        <is>
          <t>Próprio</t>
        </is>
      </c>
      <c r="D501" s="17" t="inlineStr">
        <is>
          <t>ROÇAGEM COM ROÇADEIRA A GASOLINA</t>
        </is>
      </c>
      <c r="E501" s="18" t="inlineStr">
        <is>
          <t>m²</t>
        </is>
      </c>
      <c r="F501" s="19" t="n">
        <v>4748.0</v>
      </c>
      <c r="G501" s="20" t="n">
        <v>0.24</v>
      </c>
      <c r="H501" s="20" t="str">
        <f>TRUNC(G501 * (1 + 29.07 / 100), 2)</f>
      </c>
      <c r="I501" s="20" t="str">
        <f>TRUNC(F501 * h501, 2)</f>
      </c>
      <c r="J501" s="21" t="str">
        <f>i501 / 3372490.28</f>
      </c>
    </row>
    <row customHeight="1" ht="24" r="502">
      <c r="A502" s="9" t="inlineStr">
        <is>
          <t> 19.5 </t>
        </is>
      </c>
      <c r="B502" s="9"/>
      <c r="C502" s="9"/>
      <c r="D502" s="9" t="inlineStr">
        <is>
          <t>IDENTIFICAÇÃO/MASTRO BANDEIRAS</t>
        </is>
      </c>
      <c r="E502" s="9"/>
      <c r="F502" s="11"/>
      <c r="G502" s="9"/>
      <c r="H502" s="9"/>
      <c r="I502" s="12" t="n">
        <v>12651.7</v>
      </c>
      <c r="J502" s="13" t="str">
        <f>i502 / 3372490.28</f>
      </c>
    </row>
    <row customHeight="1" ht="24" r="503">
      <c r="A503" s="9" t="inlineStr">
        <is>
          <t> 19.5.1 </t>
        </is>
      </c>
      <c r="B503" s="9"/>
      <c r="C503" s="9"/>
      <c r="D503" s="9" t="inlineStr">
        <is>
          <t>IDENTIFICAÇÃO</t>
        </is>
      </c>
      <c r="E503" s="9"/>
      <c r="F503" s="11"/>
      <c r="G503" s="9"/>
      <c r="H503" s="9"/>
      <c r="I503" s="12" t="n">
        <v>4108.6</v>
      </c>
      <c r="J503" s="13" t="str">
        <f>i503 / 3372490.28</f>
      </c>
    </row>
    <row customHeight="1" ht="26" r="504">
      <c r="A504" s="17" t="inlineStr">
        <is>
          <t> 19.5.1.1 </t>
        </is>
      </c>
      <c r="B504" s="19" t="inlineStr">
        <is>
          <t> ITA0056 </t>
        </is>
      </c>
      <c r="C504" s="17" t="inlineStr">
        <is>
          <t>Próprio</t>
        </is>
      </c>
      <c r="D504" s="17" t="inlineStr">
        <is>
          <t>LETRA EM AÇO INOX ESCOVADO/POLIDO 10 X 10CM - INSTALADO</t>
        </is>
      </c>
      <c r="E504" s="18" t="inlineStr">
        <is>
          <t>un</t>
        </is>
      </c>
      <c r="F504" s="19" t="n">
        <v>32.0</v>
      </c>
      <c r="G504" s="20" t="n">
        <v>58.01</v>
      </c>
      <c r="H504" s="20" t="str">
        <f>TRUNC(G504 * (1 + 29.07 / 100), 2)</f>
      </c>
      <c r="I504" s="20" t="str">
        <f>TRUNC(F504 * h504, 2)</f>
      </c>
      <c r="J504" s="21" t="str">
        <f>i504 / 3372490.28</f>
      </c>
    </row>
    <row customHeight="1" ht="26" r="505">
      <c r="A505" s="17" t="inlineStr">
        <is>
          <t> 19.5.1.2 </t>
        </is>
      </c>
      <c r="B505" s="19" t="inlineStr">
        <is>
          <t> ITA0055 </t>
        </is>
      </c>
      <c r="C505" s="17" t="inlineStr">
        <is>
          <t>Próprio</t>
        </is>
      </c>
      <c r="D505" s="17" t="inlineStr">
        <is>
          <t>LETRA EM AÇO INOX ESCOVADO/POLIDO 20 X 20CM - INSTALADO</t>
        </is>
      </c>
      <c r="E505" s="18" t="inlineStr">
        <is>
          <t>un</t>
        </is>
      </c>
      <c r="F505" s="19" t="n">
        <v>14.0</v>
      </c>
      <c r="G505" s="20" t="n">
        <v>94.79</v>
      </c>
      <c r="H505" s="20" t="str">
        <f>TRUNC(G505 * (1 + 29.07 / 100), 2)</f>
      </c>
      <c r="I505" s="20" t="str">
        <f>TRUNC(F505 * h505, 2)</f>
      </c>
      <c r="J505" s="21" t="str">
        <f>i505 / 3372490.28</f>
      </c>
    </row>
    <row customHeight="1" ht="24" r="506">
      <c r="A506" s="9" t="inlineStr">
        <is>
          <t> 19.5.2 </t>
        </is>
      </c>
      <c r="B506" s="9"/>
      <c r="C506" s="9"/>
      <c r="D506" s="9" t="inlineStr">
        <is>
          <t>BASE E MASTRO PARA BANDEIRAS</t>
        </is>
      </c>
      <c r="E506" s="9"/>
      <c r="F506" s="11"/>
      <c r="G506" s="9"/>
      <c r="H506" s="9"/>
      <c r="I506" s="12" t="n">
        <v>8543.1</v>
      </c>
      <c r="J506" s="13" t="str">
        <f>i506 / 3372490.28</f>
      </c>
    </row>
    <row customHeight="1" ht="26" r="507">
      <c r="A507" s="17" t="inlineStr">
        <is>
          <t> 19.5.2.1 </t>
        </is>
      </c>
      <c r="B507" s="19" t="inlineStr">
        <is>
          <t> 93358 </t>
        </is>
      </c>
      <c r="C507" s="17" t="inlineStr">
        <is>
          <t>SINAPI</t>
        </is>
      </c>
      <c r="D507" s="17" t="inlineStr">
        <is>
          <t>ESCAVAÇÃO MANUAL DE VALA COM PROFUNDIDADE MENOR OU IGUAL A 1,30 M. AF_02/2021</t>
        </is>
      </c>
      <c r="E507" s="18" t="inlineStr">
        <is>
          <t>m³</t>
        </is>
      </c>
      <c r="F507" s="19" t="n">
        <v>1.4</v>
      </c>
      <c r="G507" s="20" t="n">
        <v>83.86</v>
      </c>
      <c r="H507" s="20" t="str">
        <f>TRUNC(G507 * (1 + 29.07 / 100), 2)</f>
      </c>
      <c r="I507" s="20" t="str">
        <f>TRUNC(F507 * h507, 2)</f>
      </c>
      <c r="J507" s="21" t="str">
        <f>i507 / 3372490.28</f>
      </c>
    </row>
    <row customHeight="1" ht="39" r="508">
      <c r="A508" s="17" t="inlineStr">
        <is>
          <t> 19.5.2.2 </t>
        </is>
      </c>
      <c r="B508" s="19" t="inlineStr">
        <is>
          <t> 94963 </t>
        </is>
      </c>
      <c r="C508" s="17" t="inlineStr">
        <is>
          <t>SINAPI</t>
        </is>
      </c>
      <c r="D508" s="17" t="inlineStr">
        <is>
          <t>CONCRETO FCK = 15MPA, TRAÇO 1:3,4:3,5 (EM MASSA SECA DE CIMENTO/ AREIA MÉDIA/ BRITA 1) - PREPARO MECÂNICO COM BETONEIRA 400 L. AF_05/2021</t>
        </is>
      </c>
      <c r="E508" s="18" t="inlineStr">
        <is>
          <t>m³</t>
        </is>
      </c>
      <c r="F508" s="19" t="n">
        <v>1.4</v>
      </c>
      <c r="G508" s="20" t="n">
        <v>471.7</v>
      </c>
      <c r="H508" s="20" t="str">
        <f>TRUNC(G508 * (1 + 29.07 / 100), 2)</f>
      </c>
      <c r="I508" s="20" t="str">
        <f>TRUNC(F508 * h508, 2)</f>
      </c>
      <c r="J508" s="21" t="str">
        <f>i508 / 3372490.28</f>
      </c>
    </row>
    <row customHeight="1" ht="26" r="509">
      <c r="A509" s="17" t="inlineStr">
        <is>
          <t> 19.5.2.3 </t>
        </is>
      </c>
      <c r="B509" s="19" t="inlineStr">
        <is>
          <t> 103670 </t>
        </is>
      </c>
      <c r="C509" s="17" t="inlineStr">
        <is>
          <t>SINAPI</t>
        </is>
      </c>
      <c r="D509" s="17" t="inlineStr">
        <is>
          <t>LANÇAMENTO COM USO DE BALDES, ADENSAMENTO E ACABAMENTO DE CONCRETO EM ESTRUTURAS. AF_02/2022</t>
        </is>
      </c>
      <c r="E509" s="18" t="inlineStr">
        <is>
          <t>m³</t>
        </is>
      </c>
      <c r="F509" s="19" t="n">
        <v>1.4</v>
      </c>
      <c r="G509" s="20" t="n">
        <v>300.21</v>
      </c>
      <c r="H509" s="20" t="str">
        <f>TRUNC(G509 * (1 + 29.07 / 100), 2)</f>
      </c>
      <c r="I509" s="20" t="str">
        <f>TRUNC(F509 * h509, 2)</f>
      </c>
      <c r="J509" s="21" t="str">
        <f>i509 / 3372490.28</f>
      </c>
    </row>
    <row customHeight="1" ht="39" r="510">
      <c r="A510" s="17" t="inlineStr">
        <is>
          <t> 19.5.2.4 </t>
        </is>
      </c>
      <c r="B510" s="19" t="inlineStr">
        <is>
          <t> 92337 </t>
        </is>
      </c>
      <c r="C510" s="17" t="inlineStr">
        <is>
          <t>SINAPI</t>
        </is>
      </c>
      <c r="D510" s="17" t="inlineStr">
        <is>
          <t>TUBO DE AÇO GALVANIZADO COM COSTURA, CLASSE MÉDIA, CONEXÃO RANHURADA, DN 80 (3"), INSTALADO EM PRUMADAS - FORNECIMENTO E INSTALAÇÃO. AF_10/2020</t>
        </is>
      </c>
      <c r="E510" s="18" t="inlineStr">
        <is>
          <t>M</t>
        </is>
      </c>
      <c r="F510" s="19" t="n">
        <v>17.0</v>
      </c>
      <c r="G510" s="20" t="n">
        <v>159.95</v>
      </c>
      <c r="H510" s="20" t="str">
        <f>TRUNC(G510 * (1 + 29.07 / 100), 2)</f>
      </c>
      <c r="I510" s="20" t="str">
        <f>TRUNC(F510 * h510, 2)</f>
      </c>
      <c r="J510" s="21" t="str">
        <f>i510 / 3372490.28</f>
      </c>
    </row>
    <row customHeight="1" ht="52" r="511">
      <c r="A511" s="17" t="inlineStr">
        <is>
          <t> 19.5.2.5 </t>
        </is>
      </c>
      <c r="B511" s="19" t="inlineStr">
        <is>
          <t> 92687 </t>
        </is>
      </c>
      <c r="C511" s="17" t="inlineStr">
        <is>
          <t>SINAPI</t>
        </is>
      </c>
      <c r="D511" s="17" t="inlineStr">
        <is>
          <t>TUBO DE AÇO GALVANIZADO COM COSTURA, CLASSE MÉDIA, CONEXÃO ROSQUEADA, DN 15 (1/2"), INSTALADO EM RAMAIS E SUB-RAMAIS DE GÁS - FORNECIMENTO E INSTALAÇÃO. AF_10/2020</t>
        </is>
      </c>
      <c r="E511" s="18" t="inlineStr">
        <is>
          <t>M</t>
        </is>
      </c>
      <c r="F511" s="19" t="n">
        <v>3.0</v>
      </c>
      <c r="G511" s="20" t="n">
        <v>30.11</v>
      </c>
      <c r="H511" s="20" t="str">
        <f>TRUNC(G511 * (1 + 29.07 / 100), 2)</f>
      </c>
      <c r="I511" s="20" t="str">
        <f>TRUNC(F511 * h511, 2)</f>
      </c>
      <c r="J511" s="21" t="str">
        <f>i511 / 3372490.28</f>
      </c>
    </row>
    <row customHeight="1" ht="24" r="512">
      <c r="A512" s="17" t="inlineStr">
        <is>
          <t> 19.5.2.6 </t>
        </is>
      </c>
      <c r="B512" s="19" t="inlineStr">
        <is>
          <t> ITA0067 </t>
        </is>
      </c>
      <c r="C512" s="17" t="inlineStr">
        <is>
          <t>Próprio</t>
        </is>
      </c>
      <c r="D512" s="17" t="inlineStr">
        <is>
          <t>ROLDANA E CORDA PARA MASTRO DE BANDEIRA</t>
        </is>
      </c>
      <c r="E512" s="18" t="inlineStr">
        <is>
          <t>UND</t>
        </is>
      </c>
      <c r="F512" s="19" t="n">
        <v>3.0</v>
      </c>
      <c r="G512" s="20" t="n">
        <v>195.74</v>
      </c>
      <c r="H512" s="20" t="str">
        <f>TRUNC(G512 * (1 + 29.07 / 100), 2)</f>
      </c>
      <c r="I512" s="20" t="str">
        <f>TRUNC(F512 * h512, 2)</f>
      </c>
      <c r="J512" s="21" t="str">
        <f>i512 / 3372490.28</f>
      </c>
    </row>
    <row customHeight="1" ht="26" r="513">
      <c r="A513" s="17" t="inlineStr">
        <is>
          <t> 19.5.2.7 </t>
        </is>
      </c>
      <c r="B513" s="19" t="inlineStr">
        <is>
          <t> 101092 </t>
        </is>
      </c>
      <c r="C513" s="17" t="inlineStr">
        <is>
          <t>SINAPI</t>
        </is>
      </c>
      <c r="D513" s="17" t="inlineStr">
        <is>
          <t>PISO EM GRANITO APLICADO EM CALÇADAS OU PISOS EXTERNOS. AF_05/2020</t>
        </is>
      </c>
      <c r="E513" s="18" t="inlineStr">
        <is>
          <t>m²</t>
        </is>
      </c>
      <c r="F513" s="19" t="n">
        <v>5.76</v>
      </c>
      <c r="G513" s="20" t="n">
        <v>351.45</v>
      </c>
      <c r="H513" s="20" t="str">
        <f>TRUNC(G513 * (1 + 29.07 / 100), 2)</f>
      </c>
      <c r="I513" s="20" t="str">
        <f>TRUNC(F513 * h513, 2)</f>
      </c>
      <c r="J513" s="21" t="str">
        <f>i513 / 3372490.28</f>
      </c>
    </row>
    <row customHeight="1" ht="24" r="514">
      <c r="A514" s="9" t="inlineStr">
        <is>
          <t> 20 </t>
        </is>
      </c>
      <c r="B514" s="9"/>
      <c r="C514" s="9"/>
      <c r="D514" s="9" t="inlineStr">
        <is>
          <t>RESERVATÓRIO ELEVADO E ENTERRADO</t>
        </is>
      </c>
      <c r="E514" s="9"/>
      <c r="F514" s="11"/>
      <c r="G514" s="9"/>
      <c r="H514" s="9"/>
      <c r="I514" s="12" t="n">
        <v>8054.83</v>
      </c>
      <c r="J514" s="13" t="str">
        <f>i514 / 3372490.28</f>
      </c>
    </row>
    <row customHeight="1" ht="26" r="515">
      <c r="A515" s="17" t="inlineStr">
        <is>
          <t> 20.1 </t>
        </is>
      </c>
      <c r="B515" s="19" t="inlineStr">
        <is>
          <t> 99814 </t>
        </is>
      </c>
      <c r="C515" s="17" t="inlineStr">
        <is>
          <t>SINAPI</t>
        </is>
      </c>
      <c r="D515" s="17" t="inlineStr">
        <is>
          <t>LIMPEZA DE SUPERFÍCIE COM JATO DE ALTA PRESSÃO. AF_04/2019</t>
        </is>
      </c>
      <c r="E515" s="18" t="inlineStr">
        <is>
          <t>m²</t>
        </is>
      </c>
      <c r="F515" s="19" t="n">
        <v>100.88</v>
      </c>
      <c r="G515" s="20" t="n">
        <v>1.91</v>
      </c>
      <c r="H515" s="20" t="str">
        <f>TRUNC(G515 * (1 + 29.07 / 100), 2)</f>
      </c>
      <c r="I515" s="20" t="str">
        <f>TRUNC(F515 * h515, 2)</f>
      </c>
      <c r="J515" s="21" t="str">
        <f>i515 / 3372490.28</f>
      </c>
    </row>
    <row customHeight="1" ht="24" r="516">
      <c r="A516" s="17" t="inlineStr">
        <is>
          <t> 20.2 </t>
        </is>
      </c>
      <c r="B516" s="19" t="inlineStr">
        <is>
          <t> 73948/004 </t>
        </is>
      </c>
      <c r="C516" s="17" t="inlineStr">
        <is>
          <t>SINAPI</t>
        </is>
      </c>
      <c r="D516" s="17" t="inlineStr">
        <is>
          <t>LIMPEZA E LAVAGEM DE PASTILHAS</t>
        </is>
      </c>
      <c r="E516" s="18" t="inlineStr">
        <is>
          <t>m²</t>
        </is>
      </c>
      <c r="F516" s="19" t="n">
        <v>100.88</v>
      </c>
      <c r="G516" s="20" t="n">
        <v>12.04</v>
      </c>
      <c r="H516" s="20" t="str">
        <f>TRUNC(G516 * (1 + 29.07 / 100), 2)</f>
      </c>
      <c r="I516" s="20" t="str">
        <f>TRUNC(F516 * h516, 2)</f>
      </c>
      <c r="J516" s="21" t="str">
        <f>i516 / 3372490.28</f>
      </c>
    </row>
    <row customHeight="1" ht="24" r="517">
      <c r="A517" s="17" t="inlineStr">
        <is>
          <t> 20.3 </t>
        </is>
      </c>
      <c r="B517" s="19" t="inlineStr">
        <is>
          <t> SEMAP 04.01.072 </t>
        </is>
      </c>
      <c r="C517" s="17" t="inlineStr">
        <is>
          <t>Próprio</t>
        </is>
      </c>
      <c r="D517" s="17" t="inlineStr">
        <is>
          <t>LIMPEZA DE RESERVATORIOS</t>
        </is>
      </c>
      <c r="E517" s="18" t="inlineStr">
        <is>
          <t>M³</t>
        </is>
      </c>
      <c r="F517" s="19" t="n">
        <v>14.0</v>
      </c>
      <c r="G517" s="20" t="n">
        <v>42.4</v>
      </c>
      <c r="H517" s="20" t="str">
        <f>TRUNC(G517 * (1 + 29.07 / 100), 2)</f>
      </c>
      <c r="I517" s="20" t="str">
        <f>TRUNC(F517 * h517, 2)</f>
      </c>
      <c r="J517" s="21" t="str">
        <f>i517 / 3372490.28</f>
      </c>
    </row>
    <row customHeight="1" ht="26" r="518">
      <c r="A518" s="17" t="inlineStr">
        <is>
          <t> 20.4 </t>
        </is>
      </c>
      <c r="B518" s="19" t="inlineStr">
        <is>
          <t> ITA0022 </t>
        </is>
      </c>
      <c r="C518" s="17" t="inlineStr">
        <is>
          <t>Próprio</t>
        </is>
      </c>
      <c r="D518" s="17" t="inlineStr">
        <is>
          <t>LIMPEZA, DESINFECÇÃO E TESTE DE REDES DE ABASTECIMENTO DE ÁGUA</t>
        </is>
      </c>
      <c r="E518" s="18" t="inlineStr">
        <is>
          <t>m</t>
        </is>
      </c>
      <c r="F518" s="19" t="n">
        <v>12.0</v>
      </c>
      <c r="G518" s="20" t="n">
        <v>4.99</v>
      </c>
      <c r="H518" s="20" t="str">
        <f>TRUNC(G518 * (1 + 29.07 / 100), 2)</f>
      </c>
      <c r="I518" s="20" t="str">
        <f>TRUNC(F518 * h518, 2)</f>
      </c>
      <c r="J518" s="21" t="str">
        <f>i518 / 3372490.28</f>
      </c>
    </row>
    <row customHeight="1" ht="26" r="519">
      <c r="A519" s="17" t="inlineStr">
        <is>
          <t> 20.5 </t>
        </is>
      </c>
      <c r="B519" s="19" t="inlineStr">
        <is>
          <t> ITA0024 </t>
        </is>
      </c>
      <c r="C519" s="17" t="inlineStr">
        <is>
          <t>Próprio</t>
        </is>
      </c>
      <c r="D519" s="17" t="inlineStr">
        <is>
          <t>GUARDA-CORPO METÁLICO PARA ESCADA MARINHEIRO EM AÇO PINTADO</t>
        </is>
      </c>
      <c r="E519" s="18" t="inlineStr">
        <is>
          <t>m</t>
        </is>
      </c>
      <c r="F519" s="19" t="n">
        <v>8.0</v>
      </c>
      <c r="G519" s="20" t="n">
        <v>293.32</v>
      </c>
      <c r="H519" s="20" t="str">
        <f>TRUNC(G519 * (1 + 29.07 / 100), 2)</f>
      </c>
      <c r="I519" s="20" t="str">
        <f>TRUNC(F519 * h519, 2)</f>
      </c>
      <c r="J519" s="21" t="str">
        <f>i519 / 3372490.28</f>
      </c>
    </row>
    <row customHeight="1" ht="39" r="520">
      <c r="A520" s="17" t="inlineStr">
        <is>
          <t> 20.6 </t>
        </is>
      </c>
      <c r="B520" s="19" t="inlineStr">
        <is>
          <t> 102111 </t>
        </is>
      </c>
      <c r="C520" s="17" t="inlineStr">
        <is>
          <t>SINAPI</t>
        </is>
      </c>
      <c r="D520" s="17" t="inlineStr">
        <is>
          <t>BOMBA CENTRÍFUGA, MONOFÁSICA, 0,5 CV OU 0,49 HP, HM 6 A 20 M, Q 1,2 A 8,3 M3/H - FORNECIMENTO E INSTALAÇÃO. AF_12/2020</t>
        </is>
      </c>
      <c r="E520" s="18" t="inlineStr">
        <is>
          <t>UN</t>
        </is>
      </c>
      <c r="F520" s="19" t="n">
        <v>1.0</v>
      </c>
      <c r="G520" s="20" t="n">
        <v>792.23</v>
      </c>
      <c r="H520" s="20" t="str">
        <f>TRUNC(G520 * (1 + 29.07 / 100), 2)</f>
      </c>
      <c r="I520" s="20" t="str">
        <f>TRUNC(F520 * h520, 2)</f>
      </c>
      <c r="J520" s="21" t="str">
        <f>i520 / 3372490.28</f>
      </c>
    </row>
    <row customHeight="1" ht="26" r="521">
      <c r="A521" s="17" t="inlineStr">
        <is>
          <t> 20.7 </t>
        </is>
      </c>
      <c r="B521" s="19" t="inlineStr">
        <is>
          <t> 102137 </t>
        </is>
      </c>
      <c r="C521" s="17" t="inlineStr">
        <is>
          <t>SINAPI</t>
        </is>
      </c>
      <c r="D521" s="17" t="inlineStr">
        <is>
          <t>CHAVE DE BOIA AUTOMÁTICA SUPERIOR/INFERIOR 15A/250V - FORNECIMENTO E INSTALAÇÃO. AF_12/2020</t>
        </is>
      </c>
      <c r="E521" s="18" t="inlineStr">
        <is>
          <t>UN</t>
        </is>
      </c>
      <c r="F521" s="19" t="n">
        <v>1.0</v>
      </c>
      <c r="G521" s="20" t="n">
        <v>84.91</v>
      </c>
      <c r="H521" s="20" t="str">
        <f>TRUNC(G521 * (1 + 29.07 / 100), 2)</f>
      </c>
      <c r="I521" s="20" t="str">
        <f>TRUNC(F521 * h521, 2)</f>
      </c>
      <c r="J521" s="21" t="str">
        <f>i521 / 3372490.28</f>
      </c>
    </row>
    <row customHeight="1" ht="26" r="522">
      <c r="A522" s="17" t="inlineStr">
        <is>
          <t> 20.8 </t>
        </is>
      </c>
      <c r="B522" s="19" t="inlineStr">
        <is>
          <t> 94796 </t>
        </is>
      </c>
      <c r="C522" s="17" t="inlineStr">
        <is>
          <t>SINAPI</t>
        </is>
      </c>
      <c r="D522" s="17" t="inlineStr">
        <is>
          <t>TORNEIRA DE BOIA PARA CAIXA D'ÁGUA, ROSCÁVEL, 3/4" - FORNECIMENTO E INSTALAÇÃO. AF_08/2021</t>
        </is>
      </c>
      <c r="E522" s="18" t="inlineStr">
        <is>
          <t>UN</t>
        </is>
      </c>
      <c r="F522" s="19" t="n">
        <v>1.0</v>
      </c>
      <c r="G522" s="20" t="n">
        <v>36.97</v>
      </c>
      <c r="H522" s="20" t="str">
        <f>TRUNC(G522 * (1 + 29.07 / 100), 2)</f>
      </c>
      <c r="I522" s="20" t="str">
        <f>TRUNC(F522 * h522, 2)</f>
      </c>
      <c r="J522" s="21" t="str">
        <f>i522 / 3372490.28</f>
      </c>
    </row>
    <row customHeight="1" ht="39" r="523">
      <c r="A523" s="17" t="inlineStr">
        <is>
          <t> 20.9 </t>
        </is>
      </c>
      <c r="B523" s="19" t="inlineStr">
        <is>
          <t> 91341 </t>
        </is>
      </c>
      <c r="C523" s="17" t="inlineStr">
        <is>
          <t>SINAPI</t>
        </is>
      </c>
      <c r="D523" s="17" t="inlineStr">
        <is>
          <t>PORTA EM ALUMÍNIO DE ABRIR TIPO VENEZIANA COM GUARNIÇÃO, FIXAÇÃO COM PARAFUSOS - FORNECIMENTO E INSTALAÇÃO. AF_12/2019</t>
        </is>
      </c>
      <c r="E523" s="18" t="inlineStr">
        <is>
          <t>m²</t>
        </is>
      </c>
      <c r="F523" s="19" t="n">
        <v>2.1</v>
      </c>
      <c r="G523" s="20" t="n">
        <v>438.0</v>
      </c>
      <c r="H523" s="20" t="str">
        <f>TRUNC(G523 * (1 + 29.07 / 100), 2)</f>
      </c>
      <c r="I523" s="20" t="str">
        <f>TRUNC(F523 * h523, 2)</f>
      </c>
      <c r="J523" s="21" t="str">
        <f>i523 / 3372490.28</f>
      </c>
    </row>
    <row customHeight="1" ht="24" r="524">
      <c r="A524" s="9" t="inlineStr">
        <is>
          <t> 21 </t>
        </is>
      </c>
      <c r="B524" s="9"/>
      <c r="C524" s="9"/>
      <c r="D524" s="9" t="inlineStr">
        <is>
          <t>CLIMATIZAÇÃO</t>
        </is>
      </c>
      <c r="E524" s="9"/>
      <c r="F524" s="11"/>
      <c r="G524" s="9"/>
      <c r="H524" s="9"/>
      <c r="I524" s="12" t="n">
        <v>55075.15</v>
      </c>
      <c r="J524" s="13" t="str">
        <f>i524 / 3372490.28</f>
      </c>
    </row>
    <row customHeight="1" ht="39" r="525">
      <c r="A525" s="17" t="inlineStr">
        <is>
          <t> 21.1 </t>
        </is>
      </c>
      <c r="B525" s="19" t="inlineStr">
        <is>
          <t> COBRE_FLEXÍVEL_1/2"_1/32"_FORNECIMENTO_E_INSTALAÇÃO </t>
        </is>
      </c>
      <c r="C525" s="17" t="inlineStr">
        <is>
          <t>Próprio</t>
        </is>
      </c>
      <c r="D525" s="17" t="inlineStr">
        <is>
          <t>FORNECIMENTO E INSTALAÇÃO DE TUBULAÇÃO FLEXÍVEL DE COBRE DE 1/2" E PAREDE DE 1/32" COM ISOLAMENTO TÉRMICO</t>
        </is>
      </c>
      <c r="E525" s="18" t="inlineStr">
        <is>
          <t>m</t>
        </is>
      </c>
      <c r="F525" s="19" t="n">
        <v>11.5</v>
      </c>
      <c r="G525" s="20" t="n">
        <v>35.47</v>
      </c>
      <c r="H525" s="20" t="str">
        <f>TRUNC(G525 * (1 + 29.07 / 100), 2)</f>
      </c>
      <c r="I525" s="20" t="str">
        <f>TRUNC(F525 * h525, 2)</f>
      </c>
      <c r="J525" s="21" t="str">
        <f>i525 / 3372490.28</f>
      </c>
    </row>
    <row customHeight="1" ht="39" r="526">
      <c r="A526" s="17" t="inlineStr">
        <is>
          <t> 21.1 </t>
        </is>
      </c>
      <c r="B526" s="19" t="inlineStr">
        <is>
          <t> CABOPP-5X2,5mm² </t>
        </is>
      </c>
      <c r="C526" s="17" t="inlineStr">
        <is>
          <t>Próprio</t>
        </is>
      </c>
      <c r="D526" s="17" t="inlineStr">
        <is>
          <t>FORNECIMENTO E INSTALAÇÃO DE CABO PP 5x2,5 mm² PARA INTERLIGAÇÃO DAS UNIDADES INTERNAS E EXTERNAS DOS SPLITS</t>
        </is>
      </c>
      <c r="E526" s="18" t="inlineStr">
        <is>
          <t>m</t>
        </is>
      </c>
      <c r="F526" s="19" t="n">
        <v>168.7</v>
      </c>
      <c r="G526" s="20" t="n">
        <v>16.38</v>
      </c>
      <c r="H526" s="20" t="str">
        <f>TRUNC(G526 * (1 + 29.07 / 100), 2)</f>
      </c>
      <c r="I526" s="20" t="str">
        <f>TRUNC(F526 * h526, 2)</f>
      </c>
      <c r="J526" s="21" t="str">
        <f>i526 / 3372490.28</f>
      </c>
    </row>
    <row customHeight="1" ht="39" r="527">
      <c r="A527" s="17" t="inlineStr">
        <is>
          <t> 21.2 </t>
        </is>
      </c>
      <c r="B527" s="19" t="inlineStr">
        <is>
          <t> COBRE_FLEXÍVEL_1/4"_1/32"_FORNECIMENTO_E_INSTALAÇÃO </t>
        </is>
      </c>
      <c r="C527" s="17" t="inlineStr">
        <is>
          <t>Próprio</t>
        </is>
      </c>
      <c r="D527" s="17" t="inlineStr">
        <is>
          <t>FORNECIMENTO E INSTALAÇÃO DE TUBULAÇÃO FLEXÍVEL DE COBRE DE 1/4" E PAREDE DE 1/32" COM ISOLAMENTO TÉRMICO</t>
        </is>
      </c>
      <c r="E527" s="18" t="inlineStr">
        <is>
          <t>m</t>
        </is>
      </c>
      <c r="F527" s="19" t="n">
        <v>11.5</v>
      </c>
      <c r="G527" s="20" t="n">
        <v>18.57</v>
      </c>
      <c r="H527" s="20" t="str">
        <f>TRUNC(G527 * (1 + 29.07 / 100), 2)</f>
      </c>
      <c r="I527" s="20" t="str">
        <f>TRUNC(F527 * h527, 2)</f>
      </c>
      <c r="J527" s="21" t="str">
        <f>i527 / 3372490.28</f>
      </c>
    </row>
    <row customHeight="1" ht="52" r="528">
      <c r="A528" s="17" t="inlineStr">
        <is>
          <t> 21.2 </t>
        </is>
      </c>
      <c r="B528" s="19" t="inlineStr">
        <is>
          <t> ITA0052 </t>
        </is>
      </c>
      <c r="C528" s="17" t="inlineStr">
        <is>
          <t>Próprio</t>
        </is>
      </c>
      <c r="D528" s="17" t="inlineStr">
        <is>
          <t>FORNECIMENTO E INSTALAÇÃO DE DUAS CAIXAS DE VENTILAÇÃO, SENDO UMA DE 2000 m³/h E A OUTRA DE 800m³/h,  COM SUAS REDES DE DUTOS E GRELHAS DE INSUFLAMENTO DE AR EXTERIOR E VENEZIANAS INSTALADAS</t>
        </is>
      </c>
      <c r="E528" s="18" t="inlineStr">
        <is>
          <t>CONJ</t>
        </is>
      </c>
      <c r="F528" s="19" t="n">
        <v>1.0</v>
      </c>
      <c r="G528" s="20" t="n">
        <v>11736.32</v>
      </c>
      <c r="H528" s="20" t="str">
        <f>TRUNC(G528 * (1 + 29.07 / 100), 2)</f>
      </c>
      <c r="I528" s="20" t="str">
        <f>TRUNC(F528 * h528, 2)</f>
      </c>
      <c r="J528" s="21" t="str">
        <f>i528 / 3372490.28</f>
      </c>
    </row>
    <row customHeight="1" ht="39" r="529">
      <c r="A529" s="17" t="inlineStr">
        <is>
          <t> 21.3 </t>
        </is>
      </c>
      <c r="B529" s="19" t="inlineStr">
        <is>
          <t> COBRE_FLEXÍVEL_3/8"_1/32"_FORNECIMENTO_E_INSTALAÇÃO </t>
        </is>
      </c>
      <c r="C529" s="17" t="inlineStr">
        <is>
          <t>Próprio</t>
        </is>
      </c>
      <c r="D529" s="17" t="inlineStr">
        <is>
          <t>FORNECIMENTO E INSTALAÇÃO DE TUBULAÇÃO FLEXÍVEL DE COBRE DE 3/8" E PAREDE DE 1/32" COM ISOLAMENTO TÉRMICO</t>
        </is>
      </c>
      <c r="E529" s="18" t="inlineStr">
        <is>
          <t>m</t>
        </is>
      </c>
      <c r="F529" s="19" t="n">
        <v>157.2</v>
      </c>
      <c r="G529" s="20" t="n">
        <v>26.72</v>
      </c>
      <c r="H529" s="20" t="str">
        <f>TRUNC(G529 * (1 + 29.07 / 100), 2)</f>
      </c>
      <c r="I529" s="20" t="str">
        <f>TRUNC(F529 * h529, 2)</f>
      </c>
      <c r="J529" s="21" t="str">
        <f>i529 / 3372490.28</f>
      </c>
    </row>
    <row customHeight="1" ht="39" r="530">
      <c r="A530" s="17" t="inlineStr">
        <is>
          <t> 21.4 </t>
        </is>
      </c>
      <c r="B530" s="19" t="inlineStr">
        <is>
          <t> COBRE_FLEXÍVEL_5/8"_1/32"_FORNECIMENTO_E_INSTALAÇÃO </t>
        </is>
      </c>
      <c r="C530" s="17" t="inlineStr">
        <is>
          <t>Próprio</t>
        </is>
      </c>
      <c r="D530" s="17" t="inlineStr">
        <is>
          <t>FORNECIMENTO E INSTALAÇÃO DE TUBULAÇÃO FLEXÍVEL DE COBRE DE 5/8" E PAREDE DE 1/32" COM ISOLAMENTO TÉRMICO</t>
        </is>
      </c>
      <c r="E530" s="18" t="inlineStr">
        <is>
          <t>m</t>
        </is>
      </c>
      <c r="F530" s="19" t="n">
        <v>15.0</v>
      </c>
      <c r="G530" s="20" t="n">
        <v>44.4</v>
      </c>
      <c r="H530" s="20" t="str">
        <f>TRUNC(G530 * (1 + 29.07 / 100), 2)</f>
      </c>
      <c r="I530" s="20" t="str">
        <f>TRUNC(F530 * h530, 2)</f>
      </c>
      <c r="J530" s="21" t="str">
        <f>i530 / 3372490.28</f>
      </c>
    </row>
    <row customHeight="1" ht="39" r="531">
      <c r="A531" s="17" t="inlineStr">
        <is>
          <t> 21.5 </t>
        </is>
      </c>
      <c r="B531" s="19" t="inlineStr">
        <is>
          <t> COBRE_FLEXÍVEL_3/4"_1/32"_FORNECIMENTO_E_INSTALAÇÃO </t>
        </is>
      </c>
      <c r="C531" s="17" t="inlineStr">
        <is>
          <t>Próprio</t>
        </is>
      </c>
      <c r="D531" s="17" t="inlineStr">
        <is>
          <t>FORNECIMENTO E INSTALAÇÃO DE TUBULAÇÃO FLEXÍVEL DE COBRE DE 3/4" E PAREDE DE 1/32" COM ISOLAMENTO TÉRMICO</t>
        </is>
      </c>
      <c r="E531" s="18" t="inlineStr">
        <is>
          <t>m</t>
        </is>
      </c>
      <c r="F531" s="19" t="n">
        <v>142.2</v>
      </c>
      <c r="G531" s="20" t="n">
        <v>53.32</v>
      </c>
      <c r="H531" s="20" t="str">
        <f>TRUNC(G531 * (1 + 29.07 / 100), 2)</f>
      </c>
      <c r="I531" s="20" t="str">
        <f>TRUNC(F531 * h531, 2)</f>
      </c>
      <c r="J531" s="21" t="str">
        <f>i531 / 3372490.28</f>
      </c>
    </row>
    <row customHeight="1" ht="52" r="532">
      <c r="A532" s="17" t="inlineStr">
        <is>
          <t> 21.6 </t>
        </is>
      </c>
      <c r="B532" s="19" t="inlineStr">
        <is>
          <t> MÃO_DE_OBRA_INSTALAÇÃO_SPLIT_PT_36K </t>
        </is>
      </c>
      <c r="C532" s="17" t="inlineStr">
        <is>
          <t>Próprio</t>
        </is>
      </c>
      <c r="D532" s="17" t="inlineStr">
        <is>
          <t>INSTALAÇÃO - AR CONDICIONADO SPLIT INVERTER, PISO TETO, 36000 BTU/H, CICLO FRIO - MÃO DE OBRA DE INSTALAÇÃO E INSUMOS COMPLEMENTARES (SEM CONSIDERAR O EQUIPAMENTO)</t>
        </is>
      </c>
      <c r="E532" s="18" t="inlineStr">
        <is>
          <t>UN</t>
        </is>
      </c>
      <c r="F532" s="19" t="n">
        <v>14.0</v>
      </c>
      <c r="G532" s="20" t="n">
        <v>305.27</v>
      </c>
      <c r="H532" s="20" t="str">
        <f>TRUNC(G532 * (1 + 29.07 / 100), 2)</f>
      </c>
      <c r="I532" s="20" t="str">
        <f>TRUNC(F532 * h532, 2)</f>
      </c>
      <c r="J532" s="21" t="str">
        <f>i532 / 3372490.28</f>
      </c>
    </row>
    <row customHeight="1" ht="52" r="533">
      <c r="A533" s="17" t="inlineStr">
        <is>
          <t> 21.7 </t>
        </is>
      </c>
      <c r="B533" s="19" t="inlineStr">
        <is>
          <t> MÃO_DE_OBRA_INSTALAÇÃO_SPLIT_HW_12K </t>
        </is>
      </c>
      <c r="C533" s="17" t="inlineStr">
        <is>
          <t>Próprio</t>
        </is>
      </c>
      <c r="D533" s="17" t="inlineStr">
        <is>
          <t>INSTALAÇÃO - AR CONDICIONADO SPLIT INVERTER, HI-WALL (PAREDE), 12000 BTU/H, CICLO FRIO - MÃO DE OBRA DE INSTALAÇÃO E INSUMOS COMPLEMENTARES (SEM CONSIDERAR O EQUIPAMENTO)</t>
        </is>
      </c>
      <c r="E533" s="18" t="inlineStr">
        <is>
          <t>UN</t>
        </is>
      </c>
      <c r="F533" s="19" t="n">
        <v>1.0</v>
      </c>
      <c r="G533" s="20" t="n">
        <v>186.32</v>
      </c>
      <c r="H533" s="20" t="str">
        <f>TRUNC(G533 * (1 + 29.07 / 100), 2)</f>
      </c>
      <c r="I533" s="20" t="str">
        <f>TRUNC(F533 * h533, 2)</f>
      </c>
      <c r="J533" s="21" t="str">
        <f>i533 / 3372490.28</f>
      </c>
    </row>
    <row customHeight="1" ht="52" r="534">
      <c r="A534" s="17" t="inlineStr">
        <is>
          <t> 21.8 </t>
        </is>
      </c>
      <c r="B534" s="19" t="inlineStr">
        <is>
          <t> MÃO_DE_OBRA_INSTALAÇÃO_SPLIT_HW_24K </t>
        </is>
      </c>
      <c r="C534" s="17" t="inlineStr">
        <is>
          <t>Próprio</t>
        </is>
      </c>
      <c r="D534" s="17" t="inlineStr">
        <is>
          <t>INSTALAÇÃO - AR CONDICIONADO SPLIT INVERTER, HI-WALL (PAREDE), 24000 BTU/H, CICLO FRIO - MÃO DE OBRA DE INSTALAÇÃO E INSUMOS COMPLEMENTARES (SEM CONSIDERAR O EQUIPAMENTO)</t>
        </is>
      </c>
      <c r="E534" s="18" t="inlineStr">
        <is>
          <t>UN</t>
        </is>
      </c>
      <c r="F534" s="19" t="n">
        <v>2.0</v>
      </c>
      <c r="G534" s="20" t="n">
        <v>201.27</v>
      </c>
      <c r="H534" s="20" t="str">
        <f>TRUNC(G534 * (1 + 29.07 / 100), 2)</f>
      </c>
      <c r="I534" s="20" t="str">
        <f>TRUNC(F534 * h534, 2)</f>
      </c>
      <c r="J534" s="21" t="str">
        <f>i534 / 3372490.28</f>
      </c>
    </row>
    <row customHeight="1" ht="39" r="535">
      <c r="A535" s="17" t="inlineStr">
        <is>
          <t> 21.9 </t>
        </is>
      </c>
      <c r="B535" s="19" t="inlineStr">
        <is>
          <t> 89865 </t>
        </is>
      </c>
      <c r="C535" s="17" t="inlineStr">
        <is>
          <t>SINAPI</t>
        </is>
      </c>
      <c r="D535" s="17" t="inlineStr">
        <is>
          <t>TUBO, PVC, SOLDÁVEL, DN 25MM, INSTALADO EM DRENO DE AR-CONDICIONADO - FORNECIMENTO E INSTALAÇÃO. AF_08/2022</t>
        </is>
      </c>
      <c r="E535" s="18" t="inlineStr">
        <is>
          <t>M</t>
        </is>
      </c>
      <c r="F535" s="19" t="n">
        <v>130.5</v>
      </c>
      <c r="G535" s="20" t="n">
        <v>16.15</v>
      </c>
      <c r="H535" s="20" t="str">
        <f>TRUNC(G535 * (1 + 29.07 / 100), 2)</f>
      </c>
      <c r="I535" s="20" t="str">
        <f>TRUNC(F535 * h535, 2)</f>
      </c>
      <c r="J535" s="21" t="str">
        <f>i535 / 3372490.28</f>
      </c>
    </row>
    <row customHeight="1" ht="24" r="536">
      <c r="A536" s="17" t="inlineStr">
        <is>
          <t> 21.10 </t>
        </is>
      </c>
      <c r="B536" s="19" t="inlineStr">
        <is>
          <t> VENT-PAREDE </t>
        </is>
      </c>
      <c r="C536" s="17" t="inlineStr">
        <is>
          <t>Próprio</t>
        </is>
      </c>
      <c r="D536" s="17" t="inlineStr">
        <is>
          <t>FORNECIMENTO E INSTALAÇÃO DE VENTILADOR DE PAREDE</t>
        </is>
      </c>
      <c r="E536" s="18" t="inlineStr">
        <is>
          <t>UN</t>
        </is>
      </c>
      <c r="F536" s="19" t="n">
        <v>5.0</v>
      </c>
      <c r="G536" s="20" t="n">
        <v>403.11</v>
      </c>
      <c r="H536" s="20" t="str">
        <f>TRUNC(G536 * (1 + 29.07 / 100), 2)</f>
      </c>
      <c r="I536" s="20" t="str">
        <f>TRUNC(F536 * h536, 2)</f>
      </c>
      <c r="J536" s="21" t="str">
        <f>i536 / 3372490.28</f>
      </c>
    </row>
    <row customHeight="1" ht="26" r="537">
      <c r="A537" s="17" t="inlineStr">
        <is>
          <t> 21.10 </t>
        </is>
      </c>
      <c r="B537" s="19" t="inlineStr">
        <is>
          <t> SEMAP 02.00.024 </t>
        </is>
      </c>
      <c r="C537" s="17" t="inlineStr">
        <is>
          <t>Próprio</t>
        </is>
      </c>
      <c r="D537" s="17" t="inlineStr">
        <is>
          <t>CAIXA DE BRITA PARA DESCIDA E DRENO DE AGUAS PLUVIAIS 30x30x40</t>
        </is>
      </c>
      <c r="E537" s="18" t="inlineStr">
        <is>
          <t>UN</t>
        </is>
      </c>
      <c r="F537" s="19" t="n">
        <v>4.0</v>
      </c>
      <c r="G537" s="20" t="n">
        <v>173.13</v>
      </c>
      <c r="H537" s="20" t="str">
        <f>TRUNC(G537 * (1 + 29.07 / 100), 2)</f>
      </c>
      <c r="I537" s="20" t="str">
        <f>TRUNC(F537 * h537, 2)</f>
      </c>
      <c r="J537" s="21" t="str">
        <f>i537 / 3372490.28</f>
      </c>
    </row>
    <row customHeight="1" ht="26" r="538">
      <c r="A538" s="17" t="inlineStr">
        <is>
          <t> 21.11 </t>
        </is>
      </c>
      <c r="B538" s="19" t="inlineStr">
        <is>
          <t> SPLITVENT </t>
        </is>
      </c>
      <c r="C538" s="17" t="inlineStr">
        <is>
          <t>Próprio</t>
        </is>
      </c>
      <c r="D538" s="17" t="inlineStr">
        <is>
          <t>FORNECIMENTO E INSTALAÇÃO DE VENTILADOR SPLITVENT COM FILTROS G4+M5</t>
        </is>
      </c>
      <c r="E538" s="18" t="inlineStr">
        <is>
          <t>UN</t>
        </is>
      </c>
      <c r="F538" s="19" t="n">
        <v>17.0</v>
      </c>
      <c r="G538" s="20" t="n">
        <v>319.11</v>
      </c>
      <c r="H538" s="20" t="str">
        <f>TRUNC(G538 * (1 + 29.07 / 100), 2)</f>
      </c>
      <c r="I538" s="20" t="str">
        <f>TRUNC(F538 * h538, 2)</f>
      </c>
      <c r="J538" s="21" t="str">
        <f>i538 / 3372490.28</f>
      </c>
    </row>
    <row customHeight="1" ht="24" r="539">
      <c r="A539" s="9" t="inlineStr">
        <is>
          <t> 22 </t>
        </is>
      </c>
      <c r="B539" s="9"/>
      <c r="C539" s="9"/>
      <c r="D539" s="9" t="inlineStr">
        <is>
          <t>SPDA</t>
        </is>
      </c>
      <c r="E539" s="9"/>
      <c r="F539" s="11"/>
      <c r="G539" s="9"/>
      <c r="H539" s="9"/>
      <c r="I539" s="12" t="n">
        <v>48528.19</v>
      </c>
      <c r="J539" s="13" t="str">
        <f>i539 / 3372490.28</f>
      </c>
    </row>
    <row customHeight="1" ht="24" r="540">
      <c r="A540" s="9" t="inlineStr">
        <is>
          <t> 22.1 </t>
        </is>
      </c>
      <c r="B540" s="9"/>
      <c r="C540" s="9"/>
      <c r="D540" s="9" t="inlineStr">
        <is>
          <t>SUBSISTEMA DE CAPTAÇÃO</t>
        </is>
      </c>
      <c r="E540" s="9"/>
      <c r="F540" s="11"/>
      <c r="G540" s="9"/>
      <c r="H540" s="9"/>
      <c r="I540" s="12" t="n">
        <v>14298.72</v>
      </c>
      <c r="J540" s="13" t="str">
        <f>i540 / 3372490.28</f>
      </c>
    </row>
    <row customHeight="1" ht="39" r="541">
      <c r="A541" s="17" t="inlineStr">
        <is>
          <t> 22.1.1 </t>
        </is>
      </c>
      <c r="B541" s="19" t="inlineStr">
        <is>
          <t> LS0001 </t>
        </is>
      </c>
      <c r="C541" s="17" t="inlineStr">
        <is>
          <t>Próprio</t>
        </is>
      </c>
      <c r="D541" s="17" t="inlineStr">
        <is>
          <t>FIXADOR CABO DE COBRE NU 35 mm² EM TELHA DE FIBRA OU CIMENTO, INOX DIAMETRO 45MM PARAFUSO E PORCA 1/4 POL. EM INOX</t>
        </is>
      </c>
      <c r="E541" s="18" t="inlineStr">
        <is>
          <t>UND</t>
        </is>
      </c>
      <c r="F541" s="19" t="n">
        <v>12.0</v>
      </c>
      <c r="G541" s="20" t="n">
        <v>11.72</v>
      </c>
      <c r="H541" s="20" t="str">
        <f>TRUNC(G541 * (1 + 29.07 / 100), 2)</f>
      </c>
      <c r="I541" s="20" t="str">
        <f>TRUNC(F541 * h541, 2)</f>
      </c>
      <c r="J541" s="21" t="str">
        <f>i541 / 3372490.28</f>
      </c>
    </row>
    <row customHeight="1" ht="52" r="542">
      <c r="A542" s="17" t="inlineStr">
        <is>
          <t> 22.1.2 </t>
        </is>
      </c>
      <c r="B542" s="19" t="inlineStr">
        <is>
          <t> ITA0003 </t>
        </is>
      </c>
      <c r="C542" s="17" t="inlineStr">
        <is>
          <t>Próprio</t>
        </is>
      </c>
      <c r="D542" s="17" t="inlineStr">
        <is>
          <t>PRESILHA DE LATÃO, L=20MM, PARA FIXAÇÃO DE CABOS DE COBRE, FURO D=5MM, PARA CABOS 35MM² A 50MM² COM PARAFUSO AUTO-ATARRAXANTE 4,2X32MM COM BUCHA DE NYLON</t>
        </is>
      </c>
      <c r="E542" s="18" t="inlineStr">
        <is>
          <t>un</t>
        </is>
      </c>
      <c r="F542" s="19" t="n">
        <v>12.0</v>
      </c>
      <c r="G542" s="20" t="n">
        <v>3.92</v>
      </c>
      <c r="H542" s="20" t="str">
        <f>TRUNC(G542 * (1 + 29.07 / 100), 2)</f>
      </c>
      <c r="I542" s="20" t="str">
        <f>TRUNC(F542 * h542, 2)</f>
      </c>
      <c r="J542" s="21" t="str">
        <f>i542 / 3372490.28</f>
      </c>
    </row>
    <row customHeight="1" ht="39" r="543">
      <c r="A543" s="17" t="inlineStr">
        <is>
          <t> 22.1.3 </t>
        </is>
      </c>
      <c r="B543" s="19" t="inlineStr">
        <is>
          <t> ITA0005 </t>
        </is>
      </c>
      <c r="C543" s="17" t="inlineStr">
        <is>
          <t>Próprio</t>
        </is>
      </c>
      <c r="D543" s="17" t="inlineStr">
        <is>
          <t>FIXADOR TIPO ÔMEGA EM COBRE, l=15mm, C/FUROS D=5,5mm E TRAVA P/CABO de 35mm² COM PARAFUSO AUTO-ATARRAXANTE - 4,2 X 32MM, COM BUCHA DE NYLON</t>
        </is>
      </c>
      <c r="E543" s="18" t="inlineStr">
        <is>
          <t>un</t>
        </is>
      </c>
      <c r="F543" s="19" t="n">
        <v>62.0</v>
      </c>
      <c r="G543" s="20" t="n">
        <v>4.99</v>
      </c>
      <c r="H543" s="20" t="str">
        <f>TRUNC(G543 * (1 + 29.07 / 100), 2)</f>
      </c>
      <c r="I543" s="20" t="str">
        <f>TRUNC(F543 * h543, 2)</f>
      </c>
      <c r="J543" s="21" t="str">
        <f>i543 / 3372490.28</f>
      </c>
    </row>
    <row customHeight="1" ht="52" r="544">
      <c r="A544" s="17" t="inlineStr">
        <is>
          <t> 22.1.4 </t>
        </is>
      </c>
      <c r="B544" s="19" t="inlineStr">
        <is>
          <t> LSE005 </t>
        </is>
      </c>
      <c r="C544" s="17" t="inlineStr">
        <is>
          <t>Próprio</t>
        </is>
      </c>
      <c r="D544" s="17" t="inlineStr">
        <is>
          <t>PARA-RAIO TIPO FRANKLIN 350 MM, LATÃO CROMADO, PARA DESCIDA 2 CABOS, C/ SUPORTE E CONECTORES P/ CABO TERRA, INCLUSIVE MASTRO AÇO GALVANIZADO 3 M X 1 1/2" E BASE</t>
        </is>
      </c>
      <c r="E544" s="18" t="inlineStr">
        <is>
          <t>UND</t>
        </is>
      </c>
      <c r="F544" s="19" t="n">
        <v>1.0</v>
      </c>
      <c r="G544" s="20" t="n">
        <v>709.8</v>
      </c>
      <c r="H544" s="20" t="str">
        <f>TRUNC(G544 * (1 + 29.07 / 100), 2)</f>
      </c>
      <c r="I544" s="20" t="str">
        <f>TRUNC(F544 * h544, 2)</f>
      </c>
      <c r="J544" s="21" t="str">
        <f>i544 / 3372490.28</f>
      </c>
    </row>
    <row customHeight="1" ht="39" r="545">
      <c r="A545" s="17" t="inlineStr">
        <is>
          <t> 22.1.5 </t>
        </is>
      </c>
      <c r="B545" s="19" t="inlineStr">
        <is>
          <t> ITA0006 </t>
        </is>
      </c>
      <c r="C545" s="17" t="inlineStr">
        <is>
          <t>Próprio</t>
        </is>
      </c>
      <c r="D545" s="17" t="inlineStr">
        <is>
          <t>TERMINAL AÉREO EM AÇO GALVANIZADO - 10MM x 250MM, COM FIXAÇÃO HORIZONTAL, COM CONETOR MINIGAR E PARAFUSO AUTO-ATARRAXANTE 4,2 X 32 MM COM BUCHA</t>
        </is>
      </c>
      <c r="E545" s="18" t="inlineStr">
        <is>
          <t>un</t>
        </is>
      </c>
      <c r="F545" s="19" t="n">
        <v>18.0</v>
      </c>
      <c r="G545" s="20" t="n">
        <v>60.16</v>
      </c>
      <c r="H545" s="20" t="str">
        <f>TRUNC(G545 * (1 + 29.07 / 100), 2)</f>
      </c>
      <c r="I545" s="20" t="str">
        <f>TRUNC(F545 * h545, 2)</f>
      </c>
      <c r="J545" s="21" t="str">
        <f>i545 / 3372490.28</f>
      </c>
    </row>
    <row customHeight="1" ht="26" r="546">
      <c r="A546" s="17" t="inlineStr">
        <is>
          <t> 22.1.6 </t>
        </is>
      </c>
      <c r="B546" s="19" t="inlineStr">
        <is>
          <t> ITA0007 </t>
        </is>
      </c>
      <c r="C546" s="17" t="inlineStr">
        <is>
          <t>Próprio</t>
        </is>
      </c>
      <c r="D546" s="17" t="inlineStr">
        <is>
          <t>CABO DE COBRE NU 35 MM², NÃO ENTERRADO, SEM ISOLADOR - FORNECIMENTO E INSTALAÇÃO</t>
        </is>
      </c>
      <c r="E546" s="18" t="inlineStr">
        <is>
          <t>M</t>
        </is>
      </c>
      <c r="F546" s="19" t="n">
        <v>187.5</v>
      </c>
      <c r="G546" s="20" t="n">
        <v>46.88</v>
      </c>
      <c r="H546" s="20" t="str">
        <f>TRUNC(G546 * (1 + 29.07 / 100), 2)</f>
      </c>
      <c r="I546" s="20" t="str">
        <f>TRUNC(F546 * h546, 2)</f>
      </c>
      <c r="J546" s="21" t="str">
        <f>i546 / 3372490.28</f>
      </c>
    </row>
    <row customHeight="1" ht="24" r="547">
      <c r="A547" s="9" t="inlineStr">
        <is>
          <t> 22.2 </t>
        </is>
      </c>
      <c r="B547" s="9"/>
      <c r="C547" s="9"/>
      <c r="D547" s="9" t="inlineStr">
        <is>
          <t>SUBSISTEMA DE DESCIDA</t>
        </is>
      </c>
      <c r="E547" s="9"/>
      <c r="F547" s="11"/>
      <c r="G547" s="9"/>
      <c r="H547" s="9"/>
      <c r="I547" s="12" t="n">
        <v>11476.02</v>
      </c>
      <c r="J547" s="13" t="str">
        <f>i547 / 3372490.28</f>
      </c>
    </row>
    <row customHeight="1" ht="26" r="548">
      <c r="A548" s="17" t="inlineStr">
        <is>
          <t> 22.2.1 </t>
        </is>
      </c>
      <c r="B548" s="19" t="inlineStr">
        <is>
          <t> ITA0007 </t>
        </is>
      </c>
      <c r="C548" s="17" t="inlineStr">
        <is>
          <t>Próprio</t>
        </is>
      </c>
      <c r="D548" s="17" t="inlineStr">
        <is>
          <t>CABO DE COBRE NU 35 MM², NÃO ENTERRADO, SEM ISOLADOR - FORNECIMENTO E INSTALAÇÃO</t>
        </is>
      </c>
      <c r="E548" s="18" t="inlineStr">
        <is>
          <t>M</t>
        </is>
      </c>
      <c r="F548" s="19" t="n">
        <v>125.2</v>
      </c>
      <c r="G548" s="20" t="n">
        <v>46.88</v>
      </c>
      <c r="H548" s="20" t="str">
        <f>TRUNC(G548 * (1 + 29.07 / 100), 2)</f>
      </c>
      <c r="I548" s="20" t="str">
        <f>TRUNC(F548 * h548, 2)</f>
      </c>
      <c r="J548" s="21" t="str">
        <f>i548 / 3372490.28</f>
      </c>
    </row>
    <row customHeight="1" ht="39" r="549">
      <c r="A549" s="17" t="inlineStr">
        <is>
          <t> 22.2.2 </t>
        </is>
      </c>
      <c r="B549" s="19" t="inlineStr">
        <is>
          <t> ITA0005 </t>
        </is>
      </c>
      <c r="C549" s="17" t="inlineStr">
        <is>
          <t>Próprio</t>
        </is>
      </c>
      <c r="D549" s="17" t="inlineStr">
        <is>
          <t>FIXADOR TIPO ÔMEGA EM COBRE, l=15mm, C/FUROS D=5,5mm E TRAVA P/CABO de 35mm² COM PARAFUSO AUTO-ATARRAXANTE - 4,2 X 32MM, COM BUCHA DE NYLON</t>
        </is>
      </c>
      <c r="E549" s="18" t="inlineStr">
        <is>
          <t>un</t>
        </is>
      </c>
      <c r="F549" s="19" t="n">
        <v>52.0</v>
      </c>
      <c r="G549" s="20" t="n">
        <v>4.99</v>
      </c>
      <c r="H549" s="20" t="str">
        <f>TRUNC(G549 * (1 + 29.07 / 100), 2)</f>
      </c>
      <c r="I549" s="20" t="str">
        <f>TRUNC(F549 * h549, 2)</f>
      </c>
      <c r="J549" s="21" t="str">
        <f>i549 / 3372490.28</f>
      </c>
    </row>
    <row customHeight="1" ht="39" r="550">
      <c r="A550" s="17" t="inlineStr">
        <is>
          <t> 22.2.3 </t>
        </is>
      </c>
      <c r="B550" s="19" t="inlineStr">
        <is>
          <t> LS0010 </t>
        </is>
      </c>
      <c r="C550" s="17" t="inlineStr">
        <is>
          <t>Próprio</t>
        </is>
      </c>
      <c r="D550" s="17" t="inlineStr">
        <is>
          <t>CONECTOR DE MEDIÇÃO EM BRONZE C/ 4 PARAFUSOS P/ CABOS DE COBRE 16 - 70 MM2 REF. TEL-560 (PÁRA-RAIO) - FORNECIMENTO E INSTALAÇÃO</t>
        </is>
      </c>
      <c r="E550" s="18" t="inlineStr">
        <is>
          <t>UND</t>
        </is>
      </c>
      <c r="F550" s="19" t="n">
        <v>14.0</v>
      </c>
      <c r="G550" s="20" t="n">
        <v>54.08</v>
      </c>
      <c r="H550" s="20" t="str">
        <f>TRUNC(G550 * (1 + 29.07 / 100), 2)</f>
      </c>
      <c r="I550" s="20" t="str">
        <f>TRUNC(F550 * h550, 2)</f>
      </c>
      <c r="J550" s="21" t="str">
        <f>i550 / 3372490.28</f>
      </c>
    </row>
    <row customHeight="1" ht="26" r="551">
      <c r="A551" s="17" t="inlineStr">
        <is>
          <t> 22.2.4 </t>
        </is>
      </c>
      <c r="B551" s="19" t="inlineStr">
        <is>
          <t> ITA0008 </t>
        </is>
      </c>
      <c r="C551" s="17" t="inlineStr">
        <is>
          <t>Próprio</t>
        </is>
      </c>
      <c r="D551" s="17" t="inlineStr">
        <is>
          <t>CAIXA DE INSPEÇÃO EM POLIAMIDA 150X110X7070mm, BOCAL 1" (DN 32mm)</t>
        </is>
      </c>
      <c r="E551" s="18" t="inlineStr">
        <is>
          <t>un</t>
        </is>
      </c>
      <c r="F551" s="19" t="n">
        <v>14.0</v>
      </c>
      <c r="G551" s="20" t="n">
        <v>87.23</v>
      </c>
      <c r="H551" s="20" t="str">
        <f>TRUNC(G551 * (1 + 29.07 / 100), 2)</f>
      </c>
      <c r="I551" s="20" t="str">
        <f>TRUNC(F551 * h551, 2)</f>
      </c>
      <c r="J551" s="21" t="str">
        <f>i551 / 3372490.28</f>
      </c>
    </row>
    <row customHeight="1" ht="39" r="552">
      <c r="A552" s="17" t="inlineStr">
        <is>
          <t> 22.2.5 </t>
        </is>
      </c>
      <c r="B552" s="19" t="inlineStr">
        <is>
          <t> LS0014 </t>
        </is>
      </c>
      <c r="C552" s="17" t="inlineStr">
        <is>
          <t>Próprio</t>
        </is>
      </c>
      <c r="D552" s="17" t="inlineStr">
        <is>
          <t>ELETRODUTO RÍGIDO ROSCÁVEL, PVC, DN 32 MM (1"), APARENTE, INSTALADO EM PAREDE - FORNECIMENTO E INSTALAÇÃO</t>
        </is>
      </c>
      <c r="E552" s="18" t="inlineStr">
        <is>
          <t>M</t>
        </is>
      </c>
      <c r="F552" s="19" t="n">
        <v>39.0</v>
      </c>
      <c r="G552" s="20" t="n">
        <v>20.13</v>
      </c>
      <c r="H552" s="20" t="str">
        <f>TRUNC(G552 * (1 + 29.07 / 100), 2)</f>
      </c>
      <c r="I552" s="20" t="str">
        <f>TRUNC(F552 * h552, 2)</f>
      </c>
      <c r="J552" s="21" t="str">
        <f>i552 / 3372490.28</f>
      </c>
    </row>
    <row customHeight="1" ht="24" r="553">
      <c r="A553" s="9" t="inlineStr">
        <is>
          <t> 22.3 </t>
        </is>
      </c>
      <c r="B553" s="9"/>
      <c r="C553" s="9"/>
      <c r="D553" s="9" t="inlineStr">
        <is>
          <t>SUBSISTEMA DE ATERRAMENTO</t>
        </is>
      </c>
      <c r="E553" s="9"/>
      <c r="F553" s="11"/>
      <c r="G553" s="9"/>
      <c r="H553" s="9"/>
      <c r="I553" s="12" t="n">
        <v>22753.45</v>
      </c>
      <c r="J553" s="13" t="str">
        <f>i553 / 3372490.28</f>
      </c>
    </row>
    <row customHeight="1" ht="65" r="554">
      <c r="A554" s="17" t="inlineStr">
        <is>
          <t> 22.3.1 </t>
        </is>
      </c>
      <c r="B554" s="19" t="inlineStr">
        <is>
          <t> 102302 </t>
        </is>
      </c>
      <c r="C554" s="17" t="inlineStr">
        <is>
          <t>SINAPI</t>
        </is>
      </c>
      <c r="D554" s="17" t="inlineStr">
        <is>
          <t>ESCAVAÇÃO MECANIZADA DE VALA COM PROF. ATÉ 1,5 M (MÉDIA MONTANTE E JUSANTE/UMA COMPOSIÇÃO POR TRECHO), RETROESCAV. (0,26 M3), LARG. MENOR  QUE 0,8 M, EM SOLO MOLE, LOCAIS COM BAIXO NÍVEL DE NTERFERÊNCIA.  AF_02/2021</t>
        </is>
      </c>
      <c r="E554" s="18" t="inlineStr">
        <is>
          <t>m³</t>
        </is>
      </c>
      <c r="F554" s="19" t="n">
        <v>32.85</v>
      </c>
      <c r="G554" s="20" t="n">
        <v>10.45</v>
      </c>
      <c r="H554" s="20" t="str">
        <f>TRUNC(G554 * (1 + 29.07 / 100), 2)</f>
      </c>
      <c r="I554" s="20" t="str">
        <f>TRUNC(F554 * h554, 2)</f>
      </c>
      <c r="J554" s="21" t="str">
        <f>i554 / 3372490.28</f>
      </c>
    </row>
    <row customHeight="1" ht="65" r="555">
      <c r="A555" s="17" t="inlineStr">
        <is>
          <t> 22.3.2 </t>
        </is>
      </c>
      <c r="B555" s="19" t="inlineStr">
        <is>
          <t> 93379 </t>
        </is>
      </c>
      <c r="C555" s="17" t="inlineStr">
        <is>
          <t>SINAPI</t>
        </is>
      </c>
      <c r="D555" s="17" t="inlineStr">
        <is>
          <t>REATERRO MECANIZADO DE VALA COM RETROESCAVADEIRA (CAPACIDADE DA CAÇAMBA   DA RETRO: 0,26 M³/POTÊNCIA: 88 HP), LARGURA 0,8 A 1,5 M, PROFUNDIDADE ATÉ 1,5 M, COM SOLO (SEM SUBSTITUIÇÃO) DE 1ª CATEGORIA, COM COMPACTADOR DE SOLOS DE PERCUSSÃO AF_08/2023</t>
        </is>
      </c>
      <c r="E555" s="18" t="inlineStr">
        <is>
          <t>m³</t>
        </is>
      </c>
      <c r="F555" s="19" t="n">
        <v>32.85</v>
      </c>
      <c r="G555" s="20" t="n">
        <v>19.8</v>
      </c>
      <c r="H555" s="20" t="str">
        <f>TRUNC(G555 * (1 + 29.07 / 100), 2)</f>
      </c>
      <c r="I555" s="20" t="str">
        <f>TRUNC(F555 * h555, 2)</f>
      </c>
      <c r="J555" s="21" t="str">
        <f>i555 / 3372490.28</f>
      </c>
    </row>
    <row customHeight="1" ht="26" r="556">
      <c r="A556" s="17" t="inlineStr">
        <is>
          <t> 22.3.3 </t>
        </is>
      </c>
      <c r="B556" s="19" t="inlineStr">
        <is>
          <t> 96985 </t>
        </is>
      </c>
      <c r="C556" s="17" t="inlineStr">
        <is>
          <t>SINAPI</t>
        </is>
      </c>
      <c r="D556" s="17" t="inlineStr">
        <is>
          <t>HASTE DE ATERRAMENTO, DIÂMETRO 5/8", COM 3 METROS - FORNECIMENTO E INSTALAÇÃO. AF_08/2023</t>
        </is>
      </c>
      <c r="E556" s="18" t="inlineStr">
        <is>
          <t>UN</t>
        </is>
      </c>
      <c r="F556" s="19" t="n">
        <v>19.0</v>
      </c>
      <c r="G556" s="20" t="n">
        <v>94.17</v>
      </c>
      <c r="H556" s="20" t="str">
        <f>TRUNC(G556 * (1 + 29.07 / 100), 2)</f>
      </c>
      <c r="I556" s="20" t="str">
        <f>TRUNC(F556 * h556, 2)</f>
      </c>
      <c r="J556" s="21" t="str">
        <f>i556 / 3372490.28</f>
      </c>
    </row>
    <row customHeight="1" ht="26" r="557">
      <c r="A557" s="17" t="inlineStr">
        <is>
          <t> 22.3.4 </t>
        </is>
      </c>
      <c r="B557" s="19" t="inlineStr">
        <is>
          <t> 96977 </t>
        </is>
      </c>
      <c r="C557" s="17" t="inlineStr">
        <is>
          <t>SINAPI</t>
        </is>
      </c>
      <c r="D557" s="17" t="inlineStr">
        <is>
          <t>CORDOALHA DE COBRE NU 50 MM², ENTERRADA - FORNECIMENTO E INSTALAÇÃO. AF_08/2023</t>
        </is>
      </c>
      <c r="E557" s="18" t="inlineStr">
        <is>
          <t>M</t>
        </is>
      </c>
      <c r="F557" s="19" t="n">
        <v>219.0</v>
      </c>
      <c r="G557" s="20" t="n">
        <v>49.89</v>
      </c>
      <c r="H557" s="20" t="str">
        <f>TRUNC(G557 * (1 + 29.07 / 100), 2)</f>
      </c>
      <c r="I557" s="20" t="str">
        <f>TRUNC(F557 * h557, 2)</f>
      </c>
      <c r="J557" s="21" t="str">
        <f>i557 / 3372490.28</f>
      </c>
    </row>
    <row customHeight="1" ht="39" r="558">
      <c r="A558" s="17" t="inlineStr">
        <is>
          <t> 22.3.5 </t>
        </is>
      </c>
      <c r="B558" s="19" t="inlineStr">
        <is>
          <t> LS0015 </t>
        </is>
      </c>
      <c r="C558" s="17" t="inlineStr">
        <is>
          <t>Próprio</t>
        </is>
      </c>
      <c r="D558" s="17" t="inlineStr">
        <is>
          <t>CAIXA DE INSPEÇÃO PARA ATERRAMENTO, CIRCULAR, EM POLIETILENO, DIÂMETRO INTERNO = 0,3 M, INCLUINDO TAMPA - FORNECIMENTO E INSTALAÇÃO</t>
        </is>
      </c>
      <c r="E558" s="18" t="inlineStr">
        <is>
          <t>UND</t>
        </is>
      </c>
      <c r="F558" s="19" t="n">
        <v>16.0</v>
      </c>
      <c r="G558" s="20" t="n">
        <v>222.26</v>
      </c>
      <c r="H558" s="20" t="str">
        <f>TRUNC(G558 * (1 + 29.07 / 100), 2)</f>
      </c>
      <c r="I558" s="20" t="str">
        <f>TRUNC(F558 * h558, 2)</f>
      </c>
      <c r="J558" s="21" t="str">
        <f>i558 / 3372490.28</f>
      </c>
    </row>
    <row customHeight="1" ht="26" r="559">
      <c r="A559" s="17" t="inlineStr">
        <is>
          <t> 22.3.6 </t>
        </is>
      </c>
      <c r="B559" s="19" t="inlineStr">
        <is>
          <t> SEMAP 00.04.006 </t>
        </is>
      </c>
      <c r="C559" s="17" t="inlineStr">
        <is>
          <t>Próprio</t>
        </is>
      </c>
      <c r="D559" s="17" t="inlineStr">
        <is>
          <t>CAIXA DE EQUALIZAÇÃO P/ ATERRAMENTO 210x210x90 MM,  C/ BARRAMENTO - TEL-903</t>
        </is>
      </c>
      <c r="E559" s="18" t="inlineStr">
        <is>
          <t>UND</t>
        </is>
      </c>
      <c r="F559" s="19" t="n">
        <v>1.0</v>
      </c>
      <c r="G559" s="20" t="n">
        <v>364.72</v>
      </c>
      <c r="H559" s="20" t="str">
        <f>TRUNC(G559 * (1 + 29.07 / 100), 2)</f>
      </c>
      <c r="I559" s="20" t="str">
        <f>TRUNC(F559 * h559, 2)</f>
      </c>
      <c r="J559" s="21" t="str">
        <f>i559 / 3372490.28</f>
      </c>
    </row>
    <row customHeight="1" ht="24" r="560">
      <c r="A560" s="9" t="inlineStr">
        <is>
          <t> 23 </t>
        </is>
      </c>
      <c r="B560" s="9"/>
      <c r="C560" s="9"/>
      <c r="D560" s="9" t="inlineStr">
        <is>
          <t>ENTREGA DA OBRA</t>
        </is>
      </c>
      <c r="E560" s="9"/>
      <c r="F560" s="11"/>
      <c r="G560" s="9"/>
      <c r="H560" s="9"/>
      <c r="I560" s="12" t="n">
        <v>13653.31</v>
      </c>
      <c r="J560" s="13" t="str">
        <f>i560 / 3372490.28</f>
      </c>
    </row>
    <row customHeight="1" ht="26" r="561">
      <c r="A561" s="17" t="inlineStr">
        <is>
          <t> 23.1 </t>
        </is>
      </c>
      <c r="B561" s="19" t="inlineStr">
        <is>
          <t> ITA0054 </t>
        </is>
      </c>
      <c r="C561" s="17" t="inlineStr">
        <is>
          <t>Próprio</t>
        </is>
      </c>
      <c r="D561" s="17" t="inlineStr">
        <is>
          <t>AS BUILT ITABUNA (PROJETO / MEMORIAL/ ESPECIFICAÇÃO)</t>
        </is>
      </c>
      <c r="E561" s="18" t="inlineStr">
        <is>
          <t>UND</t>
        </is>
      </c>
      <c r="F561" s="19" t="n">
        <v>1.0</v>
      </c>
      <c r="G561" s="20" t="n">
        <v>4823.88</v>
      </c>
      <c r="H561" s="20" t="str">
        <f>TRUNC(G561 * (1 + 29.07 / 100), 2)</f>
      </c>
      <c r="I561" s="20" t="str">
        <f>TRUNC(F561 * h561, 2)</f>
      </c>
      <c r="J561" s="21" t="str">
        <f>i561 / 3372490.28</f>
      </c>
    </row>
    <row customHeight="1" ht="24" r="562">
      <c r="A562" s="17" t="inlineStr">
        <is>
          <t> 23.2 </t>
        </is>
      </c>
      <c r="B562" s="19" t="inlineStr">
        <is>
          <t> IP0166 </t>
        </is>
      </c>
      <c r="C562" s="17" t="inlineStr">
        <is>
          <t>Próprio</t>
        </is>
      </c>
      <c r="D562" s="17" t="inlineStr">
        <is>
          <t>DESMOBILIZAÇÃO</t>
        </is>
      </c>
      <c r="E562" s="18" t="inlineStr">
        <is>
          <t>UND</t>
        </is>
      </c>
      <c r="F562" s="19" t="n">
        <v>1.0</v>
      </c>
      <c r="G562" s="20" t="n">
        <v>1850.46</v>
      </c>
      <c r="H562" s="20" t="str">
        <f>TRUNC(G562 * (1 + 29.07 / 100), 2)</f>
      </c>
      <c r="I562" s="20" t="str">
        <f>TRUNC(F562 * h562, 2)</f>
      </c>
      <c r="J562" s="21" t="str">
        <f>i562 / 3372490.28</f>
      </c>
    </row>
    <row customHeight="1" ht="24" r="563">
      <c r="A563" s="17" t="inlineStr">
        <is>
          <t> 23.2 </t>
        </is>
      </c>
      <c r="B563" s="19" t="inlineStr">
        <is>
          <t> SEMAI 04.01.075 </t>
        </is>
      </c>
      <c r="C563" s="17" t="inlineStr">
        <is>
          <t>Próprio</t>
        </is>
      </c>
      <c r="D563" s="17" t="inlineStr">
        <is>
          <t>LIMPEZA GERAL</t>
        </is>
      </c>
      <c r="E563" s="18" t="inlineStr">
        <is>
          <t>M²</t>
        </is>
      </c>
      <c r="F563" s="19" t="n">
        <v>1574.61</v>
      </c>
      <c r="G563" s="20" t="n">
        <v>2.48</v>
      </c>
      <c r="H563" s="20" t="str">
        <f>TRUNC(G563 * (1 + 29.07 / 100), 2)</f>
      </c>
      <c r="I563" s="20" t="str">
        <f>TRUNC(F563 * h563, 2)</f>
      </c>
      <c r="J563" s="21" t="str">
        <f>i563 / 3372490.28</f>
      </c>
    </row>
    <row r="564">
      <c r="A564" s="67"/>
      <c r="B564" s="67"/>
      <c r="C564" s="67"/>
      <c r="D564" s="67"/>
      <c r="E564" s="67"/>
      <c r="F564" s="67"/>
      <c r="G564" s="67"/>
      <c r="H564" s="67"/>
      <c r="I564" s="67"/>
      <c r="J564" s="67"/>
    </row>
    <row r="565">
      <c r="A565" s="59"/>
      <c r="B565" s="59"/>
      <c r="C565" s="59"/>
      <c r="D565" s="66"/>
      <c r="E565" s="59"/>
      <c r="F565" s="57" t="inlineStr">
        <is>
          <t>Total sem BDI</t>
        </is>
      </c>
      <c r="G565" s="59"/>
      <c r="H565" s="60" t="n">
        <v>2623602.47</v>
      </c>
      <c r="I565" s="59"/>
      <c r="J565" s="59"/>
    </row>
    <row r="566">
      <c r="A566" s="59"/>
      <c r="B566" s="59"/>
      <c r="C566" s="59"/>
      <c r="D566" s="66"/>
      <c r="E566" s="59"/>
      <c r="F566" s="57" t="inlineStr">
        <is>
          <t>Total do BDI</t>
        </is>
      </c>
      <c r="G566" s="59"/>
      <c r="H566" s="60" t="n">
        <v>748887.81</v>
      </c>
      <c r="I566" s="59"/>
      <c r="J566" s="59"/>
    </row>
    <row r="567">
      <c r="A567" s="59"/>
      <c r="B567" s="59"/>
      <c r="C567" s="59"/>
      <c r="D567" s="66"/>
      <c r="E567" s="59"/>
      <c r="F567" s="57" t="inlineStr">
        <is>
          <t>Total Geral</t>
        </is>
      </c>
      <c r="G567" s="59"/>
      <c r="H567" s="60" t="n">
        <v>3372490.28</v>
      </c>
      <c r="I567" s="59"/>
      <c r="J567" s="59"/>
    </row>
    <row customHeight="1" ht="60" r="568">
      <c r="A568" s="58"/>
      <c r="B568" s="58"/>
      <c r="C568" s="58"/>
      <c r="D568" s="58"/>
      <c r="E568" s="58"/>
      <c r="F568" s="58"/>
      <c r="G568" s="58"/>
      <c r="H568" s="58"/>
      <c r="I568" s="58"/>
      <c r="J568" s="58"/>
    </row>
    <row customHeight="1" ht="70" r="569">
      <c r="A569" s="67" t="inlineStr">
        <is>
          <t>_______________________________________________________________
Maria Zileide Moreira Gonçalves
</t>
        </is>
      </c>
    </row>
  </sheetData>
  <sheetCalcPr fullCalcOnLoad="1"/>
  <mergeCells count="17">
    <mergeCell ref="E1:f1"/>
    <mergeCell ref="g1:h1"/>
    <mergeCell ref="i1:j1"/>
    <mergeCell ref="E2:f2"/>
    <mergeCell ref="g2:h2"/>
    <mergeCell ref="i2:j2"/>
    <mergeCell ref="A3:j3"/>
    <mergeCell ref="A565:C565"/>
    <mergeCell ref="f565:g565"/>
    <mergeCell ref="h565:j565"/>
    <mergeCell ref="A566:C566"/>
    <mergeCell ref="f566:g566"/>
    <mergeCell ref="h566:j566"/>
    <mergeCell ref="A567:C567"/>
    <mergeCell ref="f567:g567"/>
    <mergeCell ref="h567:j567"/>
    <mergeCell ref="A569:j569"/>
  </mergeCells>
  <printOptions verticalCentered="0" horizontalCentered="0" headings="0" gridLines="0"/>
  <pageMargins right="0.5" left="0.5" bottom="1" top="1" footer="0.5" header="0.5"/>
  <pageSetup fitToWidth="1" fitToHeight="0" paperSize="9" orientation="landscape"/>
  <headerFooter differentFirst="0">
    <oddHeader>&amp;L &amp;CTribunal Regional Eleitoral da Bahia
CNPJ: 05.967.350/0001-45 &amp;R</oddHeader>
    <oddFooter>&amp;L &amp;C  -  - Salvador / BA
 / mzgoncalves@tre-ba.jus.br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2024-07-22T15:17:50Z</dcterms:created>
  <cp:revision>0</cp:revision>
</cp:coreProperties>
</file>